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8715" windowHeight="9000" tabRatio="611" activeTab="3"/>
  </bookViews>
  <sheets>
    <sheet name="Mov. Terra.Galeria" sheetId="1" r:id="rId1"/>
    <sheet name="Mov. Terra. PVBL " sheetId="2" r:id="rId2"/>
    <sheet name="Mov. Terra. BL" sheetId="3" r:id="rId3"/>
    <sheet name="Q Res. Dren." sheetId="4" r:id="rId4"/>
    <sheet name="Bco Tubos" sheetId="5" r:id="rId5"/>
  </sheets>
  <definedNames>
    <definedName name="_xlnm.Print_Area" localSheetId="2">'Mov. Terra. BL'!$A$1:$Q$34</definedName>
    <definedName name="_xlnm.Print_Area" localSheetId="1">'Mov. Terra. PVBL '!$A$1:$Q$26</definedName>
    <definedName name="_xlnm.Print_Area" localSheetId="0">'Mov. Terra.Galeria'!$A$1:$U$37</definedName>
    <definedName name="_xlnm.Print_Area" localSheetId="3">'Q Res. Dren.'!$A$2:$V$14</definedName>
  </definedNames>
  <calcPr fullCalcOnLoad="1" fullPrecision="0"/>
</workbook>
</file>

<file path=xl/sharedStrings.xml><?xml version="1.0" encoding="utf-8"?>
<sst xmlns="http://schemas.openxmlformats.org/spreadsheetml/2006/main" count="264" uniqueCount="168">
  <si>
    <t>m³</t>
  </si>
  <si>
    <t>PREFEITURA MUNICIPAL DE ANANINDEUA</t>
  </si>
  <si>
    <t>SECRETARIA MUNICIPAL DE SANEAMENTO E INFRAESTRUTURA</t>
  </si>
  <si>
    <t>SOMA</t>
  </si>
  <si>
    <t>Un.</t>
  </si>
  <si>
    <t>m.</t>
  </si>
  <si>
    <t>MOVIMENTO DE TERRA</t>
  </si>
  <si>
    <t>Lastro</t>
  </si>
  <si>
    <t>POCOS DE VISITA</t>
  </si>
  <si>
    <t>PREFEITURA MUNICIPAL DE ANNANINDEUA</t>
  </si>
  <si>
    <t>SECRETARIA DE SANEAMENTO E INFRA ESTRUTURA</t>
  </si>
  <si>
    <t>POÇOS</t>
  </si>
  <si>
    <t>DADOS TUBULAÇÕES</t>
  </si>
  <si>
    <t>DADOS VALAS</t>
  </si>
  <si>
    <t>Diametro (m)</t>
  </si>
  <si>
    <t>Inicio</t>
  </si>
  <si>
    <t>Final</t>
  </si>
  <si>
    <t>INICIO</t>
  </si>
  <si>
    <t>FINAL</t>
  </si>
  <si>
    <t>Vol Lastro   (m³)</t>
  </si>
  <si>
    <t>Vol Reaterro    (m³)</t>
  </si>
  <si>
    <t>Profundidade Inicial (m)</t>
  </si>
  <si>
    <t>Profundidade Final (m)</t>
  </si>
  <si>
    <t>Diametro de Cálculo (m)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</si>
  <si>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</si>
  <si>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</si>
  <si>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</si>
  <si>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</si>
  <si>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</si>
  <si>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</si>
  <si>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</si>
  <si>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</si>
  <si>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</si>
  <si>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</si>
  <si>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</t>
  </si>
  <si>
    <t>N</t>
  </si>
  <si>
    <t>O</t>
  </si>
  <si>
    <t>K</t>
  </si>
  <si>
    <t>L</t>
  </si>
  <si>
    <t>Consultar Projeto</t>
  </si>
  <si>
    <t>¶(D²/4)</t>
  </si>
  <si>
    <t>K=(I+J)/2</t>
  </si>
  <si>
    <t>DADOS E CÁLCULOS</t>
  </si>
  <si>
    <t>Nº de Linha</t>
  </si>
  <si>
    <t>2e (Espaçamento para Forma)</t>
  </si>
  <si>
    <t>Largura de Entrada da Rede  (m)</t>
  </si>
  <si>
    <t>Largura da Entrada da Rede +2e (m)</t>
  </si>
  <si>
    <t>Largura Ortogonal Entrada da Rede  (m)</t>
  </si>
  <si>
    <t>Largura Ortogonal a Entrada da Rede +2e (m)</t>
  </si>
  <si>
    <t>Espessura do Lastro de Areia(m)</t>
  </si>
  <si>
    <t>Profundidade (Consultar Projeto)  (m)</t>
  </si>
  <si>
    <t>Profundidade Considerada (m)</t>
  </si>
  <si>
    <t>Nº</t>
  </si>
  <si>
    <t>Situação</t>
  </si>
  <si>
    <t>P</t>
  </si>
  <si>
    <t>Q</t>
  </si>
  <si>
    <t>G=E+F</t>
  </si>
  <si>
    <t>I=E+H</t>
  </si>
  <si>
    <t>J=GxI</t>
  </si>
  <si>
    <t>M=K+L</t>
  </si>
  <si>
    <t>N=JxK</t>
  </si>
  <si>
    <t>O=JxM</t>
  </si>
  <si>
    <t>P=(FxH)xM</t>
  </si>
  <si>
    <t>Q=O-P</t>
  </si>
  <si>
    <t>GALERIAS</t>
  </si>
  <si>
    <t>POÇOS DE VISITAS</t>
  </si>
  <si>
    <t>BOCAS DE LOBO</t>
  </si>
  <si>
    <t>SOMA TOTAL</t>
  </si>
  <si>
    <t>TIPO</t>
  </si>
  <si>
    <t>Diametro da Espinha (m)</t>
  </si>
  <si>
    <t>400</t>
  </si>
  <si>
    <t>Largura de Entrada da Espinha  (m)</t>
  </si>
  <si>
    <t>Largura da Entrada da Espinha +2e (m)</t>
  </si>
  <si>
    <t>Largura Ortogonal Entrada da Espinha  (m)</t>
  </si>
  <si>
    <t>Largura Ortogonal a Entrada da Espinha +2e (m)</t>
  </si>
  <si>
    <t>Área Considerada da Base do BL'S (m²)</t>
  </si>
  <si>
    <t>Vol Escavação para BL'S   (m³)</t>
  </si>
  <si>
    <t>Vol Ocupado pelo BL'S    (m³)</t>
  </si>
  <si>
    <t>Locaçao da Rede Consultar  Projeto</t>
  </si>
  <si>
    <t>m²</t>
  </si>
  <si>
    <t>Área</t>
  </si>
  <si>
    <t>Diâmetros</t>
  </si>
  <si>
    <t>mm</t>
  </si>
  <si>
    <t>m</t>
  </si>
  <si>
    <t>Diâmetro de Cálculo (m)</t>
  </si>
  <si>
    <t>LARGURA</t>
  </si>
  <si>
    <t>Extensão Galeria (m)</t>
  </si>
  <si>
    <t>2e (cm)</t>
  </si>
  <si>
    <t>Área Tubulação (m²)</t>
  </si>
  <si>
    <t>Vol Ocupada Tubulação(m³)</t>
  </si>
  <si>
    <t>Extensão Real (m)</t>
  </si>
  <si>
    <t>H=FxG</t>
  </si>
  <si>
    <t>GALERIA DE ÁGUA PLUVIAL DOS LOGRADOUROS PARTE DO PROJETO</t>
  </si>
  <si>
    <t>,</t>
  </si>
  <si>
    <t>POÇOS DE VISITA  DOS LOGRADOUROS PARTE DO PROJETO</t>
  </si>
  <si>
    <t>BOCAS DE LOBO DOS LOGRADOUROS PARTE DO PROJETO</t>
  </si>
  <si>
    <t>Área  da Base do Poço de Visita (m²)</t>
  </si>
  <si>
    <t>2e (Espaçamento para Forma), com e=0,20</t>
  </si>
  <si>
    <t>Vol (m³) Escavação da Galeria</t>
  </si>
  <si>
    <t>Meio Fio e Linha Dagua, de acordo com projeto em anexo</t>
  </si>
  <si>
    <t>Quantidade</t>
  </si>
  <si>
    <t>Vol Ocupado pelo Poço de Visita    (m³) (F x H x M)</t>
  </si>
  <si>
    <t>Vol do Reaterro    (m³) (O - P)</t>
  </si>
  <si>
    <t>Vol Escavação para Poço de Visita   (m³) ( Jx M )</t>
  </si>
  <si>
    <t>Vol Lastro   (m³) (K x J)</t>
  </si>
  <si>
    <t>(Extensão -Largura Poço de Visita), Largura do Poço de Visita de 1,60m para efeito de escavação</t>
  </si>
  <si>
    <t>LOCAÇÃO</t>
  </si>
  <si>
    <t>Largura Vala (cm)</t>
  </si>
  <si>
    <t>Escoramento, foi utilizada a profundidade média                     (C x Pmedia x 2)</t>
  </si>
  <si>
    <t>TUBULAÇOES POR UNIDADE DE TUBO</t>
  </si>
  <si>
    <t>Escavação</t>
  </si>
  <si>
    <t>REPOSIÇÃO DE MATERIAL DE JAZIDA 70%</t>
  </si>
  <si>
    <t>BOTA FORA</t>
  </si>
  <si>
    <t>Carga e descarga (m³)</t>
  </si>
  <si>
    <t>Transporte comercial de solo (m³xkm)</t>
  </si>
  <si>
    <t>Argila  vermelha ou argila arenosa (m³)</t>
  </si>
  <si>
    <t>Transporte comercial com caminhão. (m³xkm)</t>
  </si>
  <si>
    <t>R</t>
  </si>
  <si>
    <t>S</t>
  </si>
  <si>
    <t>T</t>
  </si>
  <si>
    <t>U</t>
  </si>
  <si>
    <t>Prof. Média da Galeria(m)</t>
  </si>
  <si>
    <t>MATERIAL DE REATERRO/REAPROVEITAMENTO 30%.</t>
  </si>
  <si>
    <t>L=(GxK)x(Q/100)</t>
  </si>
  <si>
    <t>P=N</t>
  </si>
  <si>
    <t>O=(E+0,40+0,40)x100</t>
  </si>
  <si>
    <t>R=Gx(Q/100)x0,10</t>
  </si>
  <si>
    <t>S=N</t>
  </si>
  <si>
    <t>O=Nx20</t>
  </si>
  <si>
    <t>BOTA FORA DMT= (KM)</t>
  </si>
  <si>
    <t>M= 30%x(L-H-R)</t>
  </si>
  <si>
    <t>N= 70%x(L-H-R)</t>
  </si>
  <si>
    <t>T=(L-R-M)*DMT</t>
  </si>
  <si>
    <t>REPOSIÇÃO DE MATERIAL DE JAZIDA (70%)</t>
  </si>
  <si>
    <t xml:space="preserve">Carga e descarga </t>
  </si>
  <si>
    <t xml:space="preserve">Argila  vermelha ou argila arenosa </t>
  </si>
  <si>
    <t>m³xKm</t>
  </si>
  <si>
    <t>Transporte comercial com caminhão basculante(m³xkm)</t>
  </si>
  <si>
    <t>Transporte comercial com caminhão basculante.</t>
  </si>
  <si>
    <t>Reaterro (Reaproveitamento 30%)</t>
  </si>
  <si>
    <t>Transporte de Bota Fora, com distância média de 15Km</t>
  </si>
  <si>
    <t>DN800</t>
  </si>
  <si>
    <t>BL DUPLA</t>
  </si>
  <si>
    <t xml:space="preserve">400mm </t>
  </si>
  <si>
    <t>DN600</t>
  </si>
  <si>
    <t>DUPLA</t>
  </si>
  <si>
    <t>Bocas de Lobo - Simples e Dupla</t>
  </si>
  <si>
    <t xml:space="preserve">600mm </t>
  </si>
  <si>
    <t>800mm</t>
  </si>
  <si>
    <t>PV2</t>
  </si>
  <si>
    <t>PV3</t>
  </si>
  <si>
    <t>PVCG2</t>
  </si>
  <si>
    <t>PVCG1</t>
  </si>
  <si>
    <t>PV5</t>
  </si>
  <si>
    <t>PV6</t>
  </si>
  <si>
    <t>PV7</t>
  </si>
  <si>
    <t>PVL/CG3</t>
  </si>
  <si>
    <t>PV8</t>
  </si>
  <si>
    <t>DN1000</t>
  </si>
  <si>
    <t>DN2x600</t>
  </si>
  <si>
    <t>CARGA</t>
  </si>
  <si>
    <t>PVCARGA</t>
  </si>
  <si>
    <t>2X600mm</t>
  </si>
  <si>
    <t>1000mm</t>
  </si>
  <si>
    <t>QUADRO:01 - MEMÓRIA DE CÁLCULO DE MOVIMENTO DE TERRA DA GALERIA / PROJETO DA REDE DE DRENAGEM PROFUNDA BAIRRO ATALAIA (JADERLÂNDIA II).</t>
  </si>
  <si>
    <t>QUADRO:02 - MEMÓRIA DE CÁLCULO DO MOVIMENTO DE TERRA DOS POÇOS DE VISITA /  PROJETO DA REDE DE DRENAGEM PROFUNDA DO BAIRRO ATALAIA (JADERLÂNDIA II)</t>
  </si>
  <si>
    <t>QUADRO:03 - MEMÓRIA DE CÁLCULO DO MOVIMENTO DE TERRA PARA BOCA DE LOBO /  PROJETO DA REDE DE DRENAGEM PROFUNDA DO BAIRRO ATALAIA (JADERLÂNDIA II).</t>
  </si>
  <si>
    <t>QUADRO RESUMO: 04 - MEMORIA DE CALCULO DE MOVIMENTO DE TERRA /  PROJETO DA REDE DRENAGEM PROFUNDA DO BAIRRO ATALAIA (JADERLÂNDIA II).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</si>
</sst>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0.0%"/>
    <numFmt numFmtId="181" formatCode="_(* #,##0.000_);_(* \(#,##0.000\);_(* &quot;-&quot;??_);_(@_)"/>
    <numFmt numFmtId="182" formatCode="_(* #,##0.0_);_(* \(#,##0.0\);_(* &quot;-&quot;??_);_(@_)"/>
    <numFmt numFmtId="183" formatCode="_(* #,##0.0000_);_(* \(#,##0.0000\);_(* &quot;-&quot;??_);_(@_)"/>
    <numFmt numFmtId="184" formatCode="0.0000"/>
    <numFmt numFmtId="185" formatCode="0.00_);\(0.00\)"/>
    <numFmt numFmtId="186" formatCode="0.00;[Red]0.00"/>
    <numFmt numFmtId="187" formatCode="_(* #,##0_);_(* \(#,##0\);_(* &quot;-&quot;??_);_(@_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2" fontId="0" fillId="0" borderId="15" xfId="0" applyNumberForma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71" fontId="3" fillId="0" borderId="0" xfId="62" applyFont="1" applyAlignment="1">
      <alignment/>
    </xf>
    <xf numFmtId="171" fontId="3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quotePrefix="1">
      <alignment horizontal="left" vertical="center" wrapText="1"/>
    </xf>
    <xf numFmtId="0" fontId="0" fillId="0" borderId="15" xfId="0" applyFill="1" applyBorder="1" applyAlignment="1" quotePrefix="1">
      <alignment horizontal="center" vertical="center"/>
    </xf>
    <xf numFmtId="2" fontId="0" fillId="0" borderId="15" xfId="0" applyNumberFormat="1" applyFill="1" applyBorder="1" applyAlignment="1" quotePrefix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9" fontId="3" fillId="0" borderId="0" xfId="5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1" fontId="0" fillId="0" borderId="0" xfId="62" applyFont="1" applyAlignment="1">
      <alignment/>
    </xf>
    <xf numFmtId="0" fontId="0" fillId="0" borderId="0" xfId="0" applyAlignment="1" quotePrefix="1">
      <alignment horizontal="center" vertical="center" wrapText="1"/>
    </xf>
    <xf numFmtId="2" fontId="0" fillId="35" borderId="15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2" fontId="3" fillId="35" borderId="15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 quotePrefix="1">
      <alignment horizontal="center" vertical="center" wrapText="1"/>
    </xf>
    <xf numFmtId="2" fontId="3" fillId="35" borderId="16" xfId="0" applyNumberFormat="1" applyFont="1" applyFill="1" applyBorder="1" applyAlignment="1">
      <alignment horizontal="center" vertical="center"/>
    </xf>
    <xf numFmtId="2" fontId="3" fillId="35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1" fontId="7" fillId="36" borderId="15" xfId="0" applyNumberFormat="1" applyFont="1" applyFill="1" applyBorder="1" applyAlignment="1">
      <alignment horizontal="center" vertical="center" wrapText="1"/>
    </xf>
    <xf numFmtId="1" fontId="7" fillId="36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6" fillId="0" borderId="0" xfId="0" applyFont="1" applyAlignment="1" quotePrefix="1">
      <alignment horizontal="left" vertical="center"/>
    </xf>
    <xf numFmtId="0" fontId="7" fillId="37" borderId="15" xfId="0" applyFont="1" applyFill="1" applyBorder="1" applyAlignment="1">
      <alignment horizontal="center" vertical="center" wrapText="1"/>
    </xf>
    <xf numFmtId="171" fontId="7" fillId="37" borderId="15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37" borderId="15" xfId="0" applyFill="1" applyBorder="1" applyAlignment="1">
      <alignment/>
    </xf>
    <xf numFmtId="0" fontId="0" fillId="0" borderId="18" xfId="0" applyBorder="1" applyAlignment="1">
      <alignment/>
    </xf>
    <xf numFmtId="2" fontId="3" fillId="38" borderId="15" xfId="0" applyNumberFormat="1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2" fontId="7" fillId="37" borderId="15" xfId="0" applyNumberFormat="1" applyFont="1" applyFill="1" applyBorder="1" applyAlignment="1">
      <alignment horizontal="center" vertical="center" wrapText="1"/>
    </xf>
    <xf numFmtId="171" fontId="7" fillId="36" borderId="19" xfId="0" applyNumberFormat="1" applyFon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/>
    </xf>
    <xf numFmtId="1" fontId="7" fillId="36" borderId="19" xfId="0" applyNumberFormat="1" applyFont="1" applyFill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71" fontId="7" fillId="40" borderId="15" xfId="0" applyNumberFormat="1" applyFont="1" applyFill="1" applyBorder="1" applyAlignment="1">
      <alignment horizontal="center" vertical="center" wrapText="1"/>
    </xf>
    <xf numFmtId="187" fontId="7" fillId="40" borderId="20" xfId="0" applyNumberFormat="1" applyFont="1" applyFill="1" applyBorder="1" applyAlignment="1">
      <alignment horizontal="center" vertical="center" wrapText="1"/>
    </xf>
    <xf numFmtId="171" fontId="7" fillId="40" borderId="20" xfId="0" applyNumberFormat="1" applyFont="1" applyFill="1" applyBorder="1" applyAlignment="1">
      <alignment horizontal="center" vertical="center" wrapText="1"/>
    </xf>
    <xf numFmtId="171" fontId="7" fillId="40" borderId="18" xfId="0" applyNumberFormat="1" applyFont="1" applyFill="1" applyBorder="1" applyAlignment="1">
      <alignment horizontal="center" vertical="center" wrapText="1"/>
    </xf>
    <xf numFmtId="171" fontId="7" fillId="40" borderId="21" xfId="0" applyNumberFormat="1" applyFont="1" applyFill="1" applyBorder="1" applyAlignment="1">
      <alignment horizontal="center" vertical="center" wrapText="1"/>
    </xf>
    <xf numFmtId="171" fontId="7" fillId="40" borderId="19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2" fontId="0" fillId="37" borderId="15" xfId="0" applyNumberForma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38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2" fontId="12" fillId="0" borderId="0" xfId="0" applyNumberFormat="1" applyFont="1" applyAlignment="1">
      <alignment/>
    </xf>
    <xf numFmtId="0" fontId="10" fillId="0" borderId="15" xfId="0" applyFont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 quotePrefix="1">
      <alignment horizontal="center" vertical="center"/>
    </xf>
    <xf numFmtId="2" fontId="10" fillId="35" borderId="15" xfId="0" applyNumberFormat="1" applyFont="1" applyFill="1" applyBorder="1" applyAlignment="1">
      <alignment horizontal="center" vertical="center"/>
    </xf>
    <xf numFmtId="2" fontId="10" fillId="37" borderId="15" xfId="0" applyNumberFormat="1" applyFont="1" applyFill="1" applyBorder="1" applyAlignment="1">
      <alignment horizontal="center" vertical="center"/>
    </xf>
    <xf numFmtId="2" fontId="11" fillId="35" borderId="15" xfId="0" applyNumberFormat="1" applyFont="1" applyFill="1" applyBorder="1" applyAlignment="1">
      <alignment horizontal="center" vertical="center"/>
    </xf>
    <xf numFmtId="2" fontId="11" fillId="38" borderId="15" xfId="0" applyNumberFormat="1" applyFont="1" applyFill="1" applyBorder="1" applyAlignment="1">
      <alignment horizontal="center" vertical="center"/>
    </xf>
    <xf numFmtId="2" fontId="10" fillId="38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 horizontal="center" vertical="center" wrapText="1"/>
    </xf>
    <xf numFmtId="171" fontId="11" fillId="0" borderId="0" xfId="62" applyFont="1" applyAlignment="1">
      <alignment vertical="center"/>
    </xf>
    <xf numFmtId="171" fontId="11" fillId="0" borderId="0" xfId="62" applyFont="1" applyAlignment="1">
      <alignment horizontal="center" vertical="center"/>
    </xf>
    <xf numFmtId="0" fontId="14" fillId="41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 quotePrefix="1">
      <alignment horizontal="center" vertical="center" wrapText="1"/>
    </xf>
    <xf numFmtId="0" fontId="10" fillId="38" borderId="15" xfId="0" applyFont="1" applyFill="1" applyBorder="1" applyAlignment="1" quotePrefix="1">
      <alignment horizontal="center" vertical="center" wrapText="1"/>
    </xf>
    <xf numFmtId="2" fontId="10" fillId="34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171" fontId="3" fillId="38" borderId="15" xfId="62" applyFont="1" applyFill="1" applyBorder="1" applyAlignment="1">
      <alignment horizontal="center" vertical="center"/>
    </xf>
    <xf numFmtId="2" fontId="11" fillId="41" borderId="15" xfId="0" applyNumberFormat="1" applyFont="1" applyFill="1" applyBorder="1" applyAlignment="1">
      <alignment horizontal="center" vertical="center"/>
    </xf>
    <xf numFmtId="0" fontId="11" fillId="41" borderId="15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2" fontId="3" fillId="41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35" borderId="24" xfId="0" applyNumberFormat="1" applyFont="1" applyFill="1" applyBorder="1" applyAlignment="1">
      <alignment horizontal="center" vertical="center"/>
    </xf>
    <xf numFmtId="171" fontId="4" fillId="0" borderId="0" xfId="62" applyFont="1" applyAlignment="1" quotePrefix="1">
      <alignment horizontal="left"/>
    </xf>
    <xf numFmtId="0" fontId="4" fillId="0" borderId="2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" fontId="7" fillId="36" borderId="26" xfId="0" applyNumberFormat="1" applyFont="1" applyFill="1" applyBorder="1" applyAlignment="1">
      <alignment horizontal="center" vertical="center"/>
    </xf>
    <xf numFmtId="1" fontId="7" fillId="36" borderId="27" xfId="0" applyNumberFormat="1" applyFont="1" applyFill="1" applyBorder="1" applyAlignment="1">
      <alignment horizontal="center" vertical="center"/>
    </xf>
    <xf numFmtId="1" fontId="7" fillId="36" borderId="28" xfId="0" applyNumberFormat="1" applyFont="1" applyFill="1" applyBorder="1" applyAlignment="1">
      <alignment horizontal="center" vertical="center"/>
    </xf>
    <xf numFmtId="171" fontId="11" fillId="0" borderId="0" xfId="62" applyFont="1" applyAlignment="1">
      <alignment/>
    </xf>
    <xf numFmtId="171" fontId="5" fillId="0" borderId="0" xfId="62" applyFont="1" applyAlignment="1">
      <alignment vertical="center"/>
    </xf>
    <xf numFmtId="171" fontId="7" fillId="36" borderId="14" xfId="62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2" fontId="11" fillId="0" borderId="15" xfId="0" applyNumberFormat="1" applyFont="1" applyBorder="1" applyAlignment="1">
      <alignment vertical="center"/>
    </xf>
    <xf numFmtId="2" fontId="0" fillId="0" borderId="29" xfId="0" applyNumberFormat="1" applyFill="1" applyBorder="1" applyAlignment="1">
      <alignment horizontal="center" vertical="center"/>
    </xf>
    <xf numFmtId="1" fontId="0" fillId="0" borderId="29" xfId="0" applyNumberFormat="1" applyFill="1" applyBorder="1" applyAlignment="1" quotePrefix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1" fillId="35" borderId="15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 quotePrefix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35" borderId="0" xfId="0" applyFont="1" applyFill="1" applyAlignment="1">
      <alignment horizontal="center"/>
    </xf>
    <xf numFmtId="0" fontId="11" fillId="41" borderId="15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11" fillId="42" borderId="15" xfId="0" applyFont="1" applyFill="1" applyBorder="1" applyAlignment="1" quotePrefix="1">
      <alignment horizontal="center" vertical="center" wrapText="1"/>
    </xf>
    <xf numFmtId="0" fontId="3" fillId="38" borderId="15" xfId="0" applyFont="1" applyFill="1" applyBorder="1" applyAlignment="1" quotePrefix="1">
      <alignment horizontal="center" vertical="center" wrapText="1"/>
    </xf>
    <xf numFmtId="0" fontId="11" fillId="35" borderId="15" xfId="0" applyFont="1" applyFill="1" applyBorder="1" applyAlignment="1" quotePrefix="1">
      <alignment horizontal="center" vertical="center" wrapText="1"/>
    </xf>
    <xf numFmtId="0" fontId="11" fillId="0" borderId="15" xfId="0" applyFont="1" applyBorder="1" applyAlignment="1" quotePrefix="1">
      <alignment horizontal="center" vertical="center" wrapText="1"/>
    </xf>
    <xf numFmtId="0" fontId="11" fillId="38" borderId="15" xfId="0" applyFont="1" applyFill="1" applyBorder="1" applyAlignment="1" quotePrefix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1" fillId="0" borderId="15" xfId="0" applyFont="1" applyFill="1" applyBorder="1" applyAlignment="1" quotePrefix="1">
      <alignment horizontal="center" vertical="center" wrapText="1"/>
    </xf>
    <xf numFmtId="0" fontId="7" fillId="35" borderId="0" xfId="0" applyFont="1" applyFill="1" applyAlignment="1">
      <alignment horizontal="center" vertical="center"/>
    </xf>
    <xf numFmtId="0" fontId="3" fillId="35" borderId="29" xfId="0" applyFont="1" applyFill="1" applyBorder="1" applyAlignment="1" quotePrefix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 quotePrefix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 quotePrefix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9" xfId="0" applyFont="1" applyFill="1" applyBorder="1" applyAlignment="1" quotePrefix="1">
      <alignment horizontal="center" vertical="center" wrapText="1"/>
    </xf>
    <xf numFmtId="0" fontId="0" fillId="0" borderId="25" xfId="0" applyBorder="1" applyAlignment="1" quotePrefix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5" fillId="35" borderId="0" xfId="0" applyFont="1" applyFill="1" applyBorder="1" applyAlignment="1" quotePrefix="1">
      <alignment horizontal="center" vertical="center" wrapText="1"/>
    </xf>
    <xf numFmtId="0" fontId="3" fillId="0" borderId="32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18" xfId="0" applyBorder="1" applyAlignment="1" quotePrefix="1">
      <alignment horizontal="center" vertical="center" wrapText="1"/>
    </xf>
    <xf numFmtId="0" fontId="7" fillId="0" borderId="0" xfId="0" applyFont="1" applyFill="1" applyAlignment="1" quotePrefix="1">
      <alignment horizontal="center"/>
    </xf>
    <xf numFmtId="0" fontId="0" fillId="0" borderId="25" xfId="0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 quotePrefix="1">
      <alignment horizontal="center" vertical="center" wrapText="1"/>
    </xf>
    <xf numFmtId="0" fontId="5" fillId="0" borderId="48" xfId="0" applyFont="1" applyBorder="1" applyAlignment="1" quotePrefix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/>
    </xf>
    <xf numFmtId="0" fontId="7" fillId="37" borderId="30" xfId="0" applyFont="1" applyFill="1" applyBorder="1" applyAlignment="1">
      <alignment horizontal="center"/>
    </xf>
    <xf numFmtId="0" fontId="7" fillId="37" borderId="46" xfId="0" applyFont="1" applyFill="1" applyBorder="1" applyAlignment="1">
      <alignment horizontal="center"/>
    </xf>
    <xf numFmtId="0" fontId="7" fillId="35" borderId="40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46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6" borderId="0" xfId="0" applyFont="1" applyFill="1" applyAlignment="1" quotePrefix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6" borderId="18" xfId="0" applyFont="1" applyFill="1" applyBorder="1" applyAlignment="1">
      <alignment horizontal="center" vertical="center" wrapText="1"/>
    </xf>
    <xf numFmtId="0" fontId="5" fillId="36" borderId="52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5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/>
    </xf>
    <xf numFmtId="0" fontId="7" fillId="34" borderId="58" xfId="0" applyFont="1" applyFill="1" applyBorder="1" applyAlignment="1">
      <alignment horizontal="center"/>
    </xf>
    <xf numFmtId="0" fontId="7" fillId="35" borderId="59" xfId="0" applyFont="1" applyFill="1" applyBorder="1" applyAlignment="1">
      <alignment horizontal="center" vertical="center" wrapText="1"/>
    </xf>
    <xf numFmtId="0" fontId="7" fillId="35" borderId="44" xfId="0" applyFont="1" applyFill="1" applyBorder="1" applyAlignment="1">
      <alignment horizontal="center" vertical="center" wrapText="1"/>
    </xf>
    <xf numFmtId="0" fontId="7" fillId="35" borderId="6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 Res. Dren.'!#REF!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'Q Res. Dren.'!#REF!</c:f>
              <c:numCache>
                <c:ptCount val="1"/>
                <c:pt idx="0">
                  <c:v>1</c:v>
                </c:pt>
              </c:numCache>
            </c:numRef>
          </c:val>
        </c:ser>
        <c:axId val="10418035"/>
        <c:axId val="26653452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'Q Res. Dren.'!#REF!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'Q Res. Dren.'!#REF!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554477"/>
        <c:axId val="11445974"/>
      </c:lineChart>
      <c:catAx>
        <c:axId val="1041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6653452"/>
        <c:crosses val="autoZero"/>
        <c:auto val="0"/>
        <c:lblOffset val="100"/>
        <c:tickLblSkip val="1"/>
        <c:noMultiLvlLbl val="0"/>
      </c:catAx>
      <c:valAx>
        <c:axId val="26653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418035"/>
        <c:crossesAt val="1"/>
        <c:crossBetween val="between"/>
        <c:dispUnits/>
      </c:valAx>
      <c:catAx>
        <c:axId val="38554477"/>
        <c:scaling>
          <c:orientation val="minMax"/>
        </c:scaling>
        <c:axPos val="b"/>
        <c:delete val="1"/>
        <c:majorTickMark val="out"/>
        <c:minorTickMark val="none"/>
        <c:tickLblPos val="nextTo"/>
        <c:crossAx val="11445974"/>
        <c:crosses val="autoZero"/>
        <c:auto val="0"/>
        <c:lblOffset val="100"/>
        <c:tickLblSkip val="1"/>
        <c:noMultiLvlLbl val="0"/>
      </c:catAx>
      <c:valAx>
        <c:axId val="11445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554477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 Res. Dren.'!#REF!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'Q Res. Dren.'!#REF!</c:f>
              <c:numCache>
                <c:ptCount val="1"/>
                <c:pt idx="0">
                  <c:v>1</c:v>
                </c:pt>
              </c:numCache>
            </c:numRef>
          </c:val>
        </c:ser>
        <c:axId val="35904903"/>
        <c:axId val="54708672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'Q Res. Dren.'!#REF!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'Q Res. Dren.'!#REF!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616001"/>
        <c:axId val="2217418"/>
      </c:lineChart>
      <c:catAx>
        <c:axId val="35904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4708672"/>
        <c:crosses val="autoZero"/>
        <c:auto val="0"/>
        <c:lblOffset val="100"/>
        <c:tickLblSkip val="1"/>
        <c:noMultiLvlLbl val="0"/>
      </c:catAx>
      <c:valAx>
        <c:axId val="54708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904903"/>
        <c:crossesAt val="1"/>
        <c:crossBetween val="between"/>
        <c:dispUnits/>
      </c:valAx>
      <c:catAx>
        <c:axId val="22616001"/>
        <c:scaling>
          <c:orientation val="minMax"/>
        </c:scaling>
        <c:axPos val="b"/>
        <c:delete val="1"/>
        <c:majorTickMark val="out"/>
        <c:minorTickMark val="none"/>
        <c:tickLblPos val="nextTo"/>
        <c:crossAx val="2217418"/>
        <c:crosses val="autoZero"/>
        <c:auto val="0"/>
        <c:lblOffset val="100"/>
        <c:tickLblSkip val="1"/>
        <c:noMultiLvlLbl val="0"/>
      </c:catAx>
      <c:valAx>
        <c:axId val="221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616001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0</xdr:col>
      <xdr:colOff>485775</xdr:colOff>
      <xdr:row>3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123825</xdr:rowOff>
    </xdr:from>
    <xdr:to>
      <xdr:col>0</xdr:col>
      <xdr:colOff>790575</xdr:colOff>
      <xdr:row>2</xdr:row>
      <xdr:rowOff>180975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2382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47625</xdr:rowOff>
    </xdr:from>
    <xdr:to>
      <xdr:col>0</xdr:col>
      <xdr:colOff>495300</xdr:colOff>
      <xdr:row>2</xdr:row>
      <xdr:rowOff>152400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9550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123825</xdr:rowOff>
    </xdr:from>
    <xdr:to>
      <xdr:col>0</xdr:col>
      <xdr:colOff>828675</xdr:colOff>
      <xdr:row>2</xdr:row>
      <xdr:rowOff>180975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2382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38100</xdr:rowOff>
    </xdr:from>
    <xdr:to>
      <xdr:col>0</xdr:col>
      <xdr:colOff>495300</xdr:colOff>
      <xdr:row>2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0025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1466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466850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466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10" name="Chart 10"/>
        <xdr:cNvGraphicFramePr/>
      </xdr:nvGraphicFramePr>
      <xdr:xfrm>
        <a:off x="0" y="1466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8411825" y="1466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8411825" y="1466850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8411825" y="1466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560195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5</xdr:row>
      <xdr:rowOff>0</xdr:rowOff>
    </xdr:from>
    <xdr:to>
      <xdr:col>17</xdr:col>
      <xdr:colOff>0</xdr:colOff>
      <xdr:row>5</xdr:row>
      <xdr:rowOff>0</xdr:rowOff>
    </xdr:to>
    <xdr:graphicFrame>
      <xdr:nvGraphicFramePr>
        <xdr:cNvPr id="15" name="Chart 15"/>
        <xdr:cNvGraphicFramePr/>
      </xdr:nvGraphicFramePr>
      <xdr:xfrm>
        <a:off x="1085850" y="1466850"/>
        <a:ext cx="18002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952500</xdr:colOff>
      <xdr:row>2</xdr:row>
      <xdr:rowOff>123825</xdr:rowOff>
    </xdr:from>
    <xdr:to>
      <xdr:col>1</xdr:col>
      <xdr:colOff>952500</xdr:colOff>
      <xdr:row>4</xdr:row>
      <xdr:rowOff>180975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6286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2</xdr:row>
      <xdr:rowOff>180975</xdr:rowOff>
    </xdr:from>
    <xdr:to>
      <xdr:col>1</xdr:col>
      <xdr:colOff>704850</xdr:colOff>
      <xdr:row>4</xdr:row>
      <xdr:rowOff>276225</xdr:rowOff>
    </xdr:to>
    <xdr:pic>
      <xdr:nvPicPr>
        <xdr:cNvPr id="17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685800"/>
          <a:ext cx="1019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zoomScale="85" zoomScaleNormal="85" zoomScaleSheetLayoutView="75" zoomScalePageLayoutView="75" workbookViewId="0" topLeftCell="A1">
      <selection activeCell="A6" sqref="A6:B8"/>
    </sheetView>
  </sheetViews>
  <sheetFormatPr defaultColWidth="9.140625" defaultRowHeight="12.75"/>
  <cols>
    <col min="1" max="1" width="10.421875" style="0" customWidth="1"/>
    <col min="2" max="2" width="13.8515625" style="0" customWidth="1"/>
    <col min="3" max="3" width="11.140625" style="0" customWidth="1"/>
    <col min="4" max="4" width="10.00390625" style="0" customWidth="1"/>
    <col min="5" max="5" width="12.57421875" style="0" customWidth="1"/>
    <col min="6" max="6" width="11.57421875" style="0" customWidth="1"/>
    <col min="7" max="7" width="16.421875" style="0" customWidth="1"/>
    <col min="8" max="8" width="14.7109375" style="0" customWidth="1"/>
    <col min="9" max="9" width="11.8515625" style="0" customWidth="1"/>
    <col min="10" max="10" width="11.57421875" style="0" customWidth="1"/>
    <col min="11" max="11" width="14.8515625" style="0" customWidth="1"/>
    <col min="12" max="12" width="14.421875" style="0" customWidth="1"/>
    <col min="13" max="13" width="16.8515625" style="0" customWidth="1"/>
    <col min="14" max="14" width="15.140625" style="0" customWidth="1"/>
    <col min="15" max="15" width="14.28125" style="0" customWidth="1"/>
    <col min="16" max="16" width="14.7109375" style="0" customWidth="1"/>
    <col min="17" max="17" width="12.28125" style="0" customWidth="1"/>
    <col min="18" max="18" width="13.28125" style="0" customWidth="1"/>
    <col min="19" max="19" width="12.7109375" style="0" customWidth="1"/>
    <col min="20" max="20" width="14.28125" style="0" customWidth="1"/>
    <col min="21" max="21" width="10.421875" style="0" customWidth="1"/>
  </cols>
  <sheetData>
    <row r="1" spans="12:20" ht="12.75">
      <c r="L1" s="11"/>
      <c r="M1" s="11"/>
      <c r="N1" s="11"/>
      <c r="O1" s="11"/>
      <c r="P1" s="11"/>
      <c r="Q1" s="11"/>
      <c r="R1" s="11"/>
      <c r="S1" s="11"/>
      <c r="T1" s="12"/>
    </row>
    <row r="2" spans="1:21" ht="12.75">
      <c r="A2" s="81"/>
      <c r="B2" s="81"/>
      <c r="C2" s="81"/>
      <c r="D2" s="81"/>
      <c r="E2" s="81"/>
      <c r="F2" s="81"/>
      <c r="G2" s="81"/>
      <c r="H2" s="81"/>
      <c r="I2" s="81"/>
      <c r="J2" s="151" t="s">
        <v>92</v>
      </c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81"/>
    </row>
    <row r="3" spans="1:21" ht="18" customHeight="1">
      <c r="A3" s="81"/>
      <c r="B3" s="160" t="s">
        <v>9</v>
      </c>
      <c r="C3" s="160"/>
      <c r="D3" s="160"/>
      <c r="E3" s="160"/>
      <c r="F3" s="160"/>
      <c r="G3" s="160"/>
      <c r="H3" s="82"/>
      <c r="I3" s="81"/>
      <c r="J3" s="81" t="s">
        <v>93</v>
      </c>
      <c r="K3" s="81"/>
      <c r="L3" s="83"/>
      <c r="M3" s="83"/>
      <c r="N3" s="83"/>
      <c r="O3" s="83"/>
      <c r="P3" s="83"/>
      <c r="Q3" s="83"/>
      <c r="R3" s="83"/>
      <c r="S3" s="83"/>
      <c r="T3" s="84"/>
      <c r="U3" s="81"/>
    </row>
    <row r="4" spans="1:21" ht="21" customHeight="1">
      <c r="A4" s="85"/>
      <c r="B4" s="161" t="s">
        <v>10</v>
      </c>
      <c r="C4" s="161"/>
      <c r="D4" s="161"/>
      <c r="E4" s="161"/>
      <c r="F4" s="161"/>
      <c r="G4" s="161"/>
      <c r="H4" s="82"/>
      <c r="I4" s="85"/>
      <c r="J4" s="85"/>
      <c r="K4" s="85"/>
      <c r="L4" s="85"/>
      <c r="M4" s="85"/>
      <c r="N4" s="85"/>
      <c r="O4" s="85"/>
      <c r="P4" s="85"/>
      <c r="Q4" s="85"/>
      <c r="R4" s="85" t="s">
        <v>85</v>
      </c>
      <c r="S4" s="85"/>
      <c r="T4" s="86"/>
      <c r="U4" s="81"/>
    </row>
    <row r="5" spans="1:21" ht="27.75" customHeight="1">
      <c r="A5" s="148" t="s">
        <v>164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spans="1:21" ht="14.25" customHeight="1">
      <c r="A6" s="150" t="s">
        <v>11</v>
      </c>
      <c r="B6" s="150"/>
      <c r="C6" s="149" t="s">
        <v>12</v>
      </c>
      <c r="D6" s="149"/>
      <c r="E6" s="149"/>
      <c r="F6" s="149"/>
      <c r="G6" s="149"/>
      <c r="H6" s="149"/>
      <c r="I6" s="155" t="s">
        <v>13</v>
      </c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</row>
    <row r="7" spans="1:21" ht="47.25" customHeight="1">
      <c r="A7" s="150"/>
      <c r="B7" s="150"/>
      <c r="C7" s="150" t="s">
        <v>86</v>
      </c>
      <c r="D7" s="158" t="s">
        <v>14</v>
      </c>
      <c r="E7" s="158" t="s">
        <v>23</v>
      </c>
      <c r="F7" s="146" t="s">
        <v>88</v>
      </c>
      <c r="G7" s="149" t="s">
        <v>90</v>
      </c>
      <c r="H7" s="146" t="s">
        <v>89</v>
      </c>
      <c r="I7" s="162" t="s">
        <v>21</v>
      </c>
      <c r="J7" s="162" t="s">
        <v>22</v>
      </c>
      <c r="K7" s="146" t="s">
        <v>121</v>
      </c>
      <c r="L7" s="157" t="s">
        <v>98</v>
      </c>
      <c r="M7" s="100" t="s">
        <v>122</v>
      </c>
      <c r="N7" s="152" t="s">
        <v>111</v>
      </c>
      <c r="O7" s="152"/>
      <c r="P7" s="152"/>
      <c r="Q7" s="146" t="s">
        <v>107</v>
      </c>
      <c r="R7" s="159" t="s">
        <v>19</v>
      </c>
      <c r="S7" s="154" t="s">
        <v>112</v>
      </c>
      <c r="T7" s="154"/>
      <c r="U7" s="154" t="s">
        <v>87</v>
      </c>
    </row>
    <row r="8" spans="1:21" ht="27.75" customHeight="1">
      <c r="A8" s="150"/>
      <c r="B8" s="150"/>
      <c r="C8" s="150"/>
      <c r="D8" s="158"/>
      <c r="E8" s="158"/>
      <c r="F8" s="146"/>
      <c r="G8" s="149"/>
      <c r="H8" s="146"/>
      <c r="I8" s="162"/>
      <c r="J8" s="162"/>
      <c r="K8" s="146"/>
      <c r="L8" s="157"/>
      <c r="M8" s="147" t="s">
        <v>20</v>
      </c>
      <c r="N8" s="147" t="s">
        <v>113</v>
      </c>
      <c r="O8" s="147" t="s">
        <v>114</v>
      </c>
      <c r="P8" s="147" t="s">
        <v>115</v>
      </c>
      <c r="Q8" s="146"/>
      <c r="R8" s="159"/>
      <c r="S8" s="156" t="s">
        <v>113</v>
      </c>
      <c r="T8" s="153" t="s">
        <v>116</v>
      </c>
      <c r="U8" s="154"/>
    </row>
    <row r="9" spans="1:21" ht="33" customHeight="1">
      <c r="A9" s="110" t="s">
        <v>15</v>
      </c>
      <c r="B9" s="110" t="s">
        <v>16</v>
      </c>
      <c r="C9" s="150"/>
      <c r="D9" s="158"/>
      <c r="E9" s="158"/>
      <c r="F9" s="146"/>
      <c r="G9" s="149"/>
      <c r="H9" s="146"/>
      <c r="I9" s="162"/>
      <c r="J9" s="162"/>
      <c r="K9" s="146"/>
      <c r="L9" s="157"/>
      <c r="M9" s="147"/>
      <c r="N9" s="147"/>
      <c r="O9" s="147"/>
      <c r="P9" s="147"/>
      <c r="Q9" s="146"/>
      <c r="R9" s="159"/>
      <c r="S9" s="153"/>
      <c r="T9" s="153"/>
      <c r="U9" s="154"/>
    </row>
    <row r="10" spans="1:21" ht="22.5" customHeight="1">
      <c r="A10" s="101" t="s">
        <v>24</v>
      </c>
      <c r="B10" s="101" t="s">
        <v>25</v>
      </c>
      <c r="C10" s="101" t="s">
        <v>26</v>
      </c>
      <c r="D10" s="101" t="s">
        <v>27</v>
      </c>
      <c r="E10" s="101" t="s">
        <v>28</v>
      </c>
      <c r="F10" s="102" t="s">
        <v>29</v>
      </c>
      <c r="G10" s="103" t="s">
        <v>30</v>
      </c>
      <c r="H10" s="102" t="s">
        <v>31</v>
      </c>
      <c r="I10" s="103" t="s">
        <v>32</v>
      </c>
      <c r="J10" s="103" t="s">
        <v>33</v>
      </c>
      <c r="K10" s="104" t="s">
        <v>37</v>
      </c>
      <c r="L10" s="104" t="s">
        <v>38</v>
      </c>
      <c r="M10" s="113" t="s">
        <v>34</v>
      </c>
      <c r="N10" s="114" t="s">
        <v>35</v>
      </c>
      <c r="O10" s="113" t="s">
        <v>36</v>
      </c>
      <c r="P10" s="114" t="s">
        <v>54</v>
      </c>
      <c r="Q10" s="102" t="s">
        <v>55</v>
      </c>
      <c r="R10" s="105" t="s">
        <v>117</v>
      </c>
      <c r="S10" s="80" t="s">
        <v>118</v>
      </c>
      <c r="T10" s="80" t="s">
        <v>119</v>
      </c>
      <c r="U10" s="106" t="s">
        <v>120</v>
      </c>
    </row>
    <row r="11" spans="1:21" ht="84.75" customHeight="1">
      <c r="A11" s="101" t="s">
        <v>39</v>
      </c>
      <c r="B11" s="101" t="s">
        <v>39</v>
      </c>
      <c r="C11" s="101"/>
      <c r="D11" s="101" t="s">
        <v>39</v>
      </c>
      <c r="E11" s="101" t="s">
        <v>39</v>
      </c>
      <c r="F11" s="107" t="s">
        <v>40</v>
      </c>
      <c r="G11" s="103" t="s">
        <v>105</v>
      </c>
      <c r="H11" s="107" t="s">
        <v>91</v>
      </c>
      <c r="I11" s="101" t="s">
        <v>39</v>
      </c>
      <c r="J11" s="101" t="s">
        <v>39</v>
      </c>
      <c r="K11" s="104" t="s">
        <v>41</v>
      </c>
      <c r="L11" s="104" t="s">
        <v>123</v>
      </c>
      <c r="M11" s="114" t="s">
        <v>130</v>
      </c>
      <c r="N11" s="114" t="s">
        <v>131</v>
      </c>
      <c r="O11" s="114" t="s">
        <v>128</v>
      </c>
      <c r="P11" s="114" t="s">
        <v>124</v>
      </c>
      <c r="Q11" s="104" t="s">
        <v>125</v>
      </c>
      <c r="R11" s="105" t="s">
        <v>126</v>
      </c>
      <c r="S11" s="80" t="s">
        <v>127</v>
      </c>
      <c r="T11" s="80" t="s">
        <v>132</v>
      </c>
      <c r="U11" s="108"/>
    </row>
    <row r="12" spans="1:21" ht="12.75" customHeight="1">
      <c r="A12" s="87" t="s">
        <v>149</v>
      </c>
      <c r="B12" s="87" t="s">
        <v>150</v>
      </c>
      <c r="C12" s="88">
        <v>65.8</v>
      </c>
      <c r="D12" s="87" t="s">
        <v>144</v>
      </c>
      <c r="E12" s="89">
        <v>0.72</v>
      </c>
      <c r="F12" s="90">
        <f aca="true" t="shared" si="0" ref="F12:F19">(1*(3.14*E12*E12)/4)</f>
        <v>0.41</v>
      </c>
      <c r="G12" s="91">
        <f aca="true" t="shared" si="1" ref="G12:G19">C12-1.6</f>
        <v>64.2</v>
      </c>
      <c r="H12" s="90">
        <f aca="true" t="shared" si="2" ref="H12:H19">G12*F12</f>
        <v>26.32</v>
      </c>
      <c r="I12" s="91">
        <v>1.4</v>
      </c>
      <c r="J12" s="91">
        <v>1.42</v>
      </c>
      <c r="K12" s="92">
        <f aca="true" t="shared" si="3" ref="K12:K19">(I12+J12)/2</f>
        <v>1.41</v>
      </c>
      <c r="L12" s="92">
        <f aca="true" t="shared" si="4" ref="L12:L19">(G12*K12)*(Q12/100)</f>
        <v>137.59</v>
      </c>
      <c r="M12" s="112">
        <f aca="true" t="shared" si="5" ref="M12:M19">0.3*(L12-H12-R12)</f>
        <v>30.45</v>
      </c>
      <c r="N12" s="115">
        <f aca="true" t="shared" si="6" ref="N12:N19">0.7*(L12-H12-R12)</f>
        <v>71.06</v>
      </c>
      <c r="O12" s="115">
        <f aca="true" t="shared" si="7" ref="O12:O19">N12*20</f>
        <v>1421.2</v>
      </c>
      <c r="P12" s="115">
        <f aca="true" t="shared" si="8" ref="P12:P19">N12</f>
        <v>71.06</v>
      </c>
      <c r="Q12" s="92">
        <f aca="true" t="shared" si="9" ref="Q12:Q19">(E12+0.4+0.4)*100</f>
        <v>152</v>
      </c>
      <c r="R12" s="93">
        <f aca="true" t="shared" si="10" ref="R12:R19">G12*(Q12/100)*0.1</f>
        <v>9.76</v>
      </c>
      <c r="S12" s="58">
        <f aca="true" t="shared" si="11" ref="S12:S19">N12</f>
        <v>71.06</v>
      </c>
      <c r="T12" s="58">
        <f>(L12-R12-M12)*R22</f>
        <v>1460.7</v>
      </c>
      <c r="U12" s="94">
        <v>80</v>
      </c>
    </row>
    <row r="13" spans="1:21" ht="12.75" customHeight="1">
      <c r="A13" s="87" t="s">
        <v>149</v>
      </c>
      <c r="B13" s="87" t="s">
        <v>151</v>
      </c>
      <c r="C13" s="88">
        <v>72.14</v>
      </c>
      <c r="D13" s="87" t="s">
        <v>144</v>
      </c>
      <c r="E13" s="89">
        <v>0.72</v>
      </c>
      <c r="F13" s="90">
        <f t="shared" si="0"/>
        <v>0.41</v>
      </c>
      <c r="G13" s="91">
        <f t="shared" si="1"/>
        <v>70.54</v>
      </c>
      <c r="H13" s="90">
        <f t="shared" si="2"/>
        <v>28.92</v>
      </c>
      <c r="I13" s="91">
        <v>1.4</v>
      </c>
      <c r="J13" s="91">
        <v>1.5</v>
      </c>
      <c r="K13" s="92">
        <f t="shared" si="3"/>
        <v>1.45</v>
      </c>
      <c r="L13" s="92">
        <f t="shared" si="4"/>
        <v>155.47</v>
      </c>
      <c r="M13" s="112">
        <f t="shared" si="5"/>
        <v>34.75</v>
      </c>
      <c r="N13" s="115">
        <f t="shared" si="6"/>
        <v>81.08</v>
      </c>
      <c r="O13" s="115">
        <f t="shared" si="7"/>
        <v>1621.6</v>
      </c>
      <c r="P13" s="115">
        <f t="shared" si="8"/>
        <v>81.08</v>
      </c>
      <c r="Q13" s="92">
        <f t="shared" si="9"/>
        <v>152</v>
      </c>
      <c r="R13" s="93">
        <f t="shared" si="10"/>
        <v>10.72</v>
      </c>
      <c r="S13" s="58">
        <f t="shared" si="11"/>
        <v>81.08</v>
      </c>
      <c r="T13" s="58">
        <f>(L13-R13-M13)*R22</f>
        <v>1650</v>
      </c>
      <c r="U13" s="94">
        <v>80</v>
      </c>
    </row>
    <row r="14" spans="1:21" ht="12.75" customHeight="1">
      <c r="A14" s="87" t="s">
        <v>150</v>
      </c>
      <c r="B14" s="87" t="s">
        <v>152</v>
      </c>
      <c r="C14" s="88">
        <v>68.95</v>
      </c>
      <c r="D14" s="87" t="s">
        <v>144</v>
      </c>
      <c r="E14" s="89">
        <v>0.72</v>
      </c>
      <c r="F14" s="90">
        <f t="shared" si="0"/>
        <v>0.41</v>
      </c>
      <c r="G14" s="91">
        <f t="shared" si="1"/>
        <v>67.35</v>
      </c>
      <c r="H14" s="90">
        <f t="shared" si="2"/>
        <v>27.61</v>
      </c>
      <c r="I14" s="91">
        <v>1.42</v>
      </c>
      <c r="J14" s="91">
        <v>1.35</v>
      </c>
      <c r="K14" s="92">
        <f t="shared" si="3"/>
        <v>1.39</v>
      </c>
      <c r="L14" s="92">
        <f t="shared" si="4"/>
        <v>142.3</v>
      </c>
      <c r="M14" s="112">
        <f t="shared" si="5"/>
        <v>31.34</v>
      </c>
      <c r="N14" s="115">
        <f t="shared" si="6"/>
        <v>73.12</v>
      </c>
      <c r="O14" s="115">
        <f t="shared" si="7"/>
        <v>1462.4</v>
      </c>
      <c r="P14" s="115">
        <f t="shared" si="8"/>
        <v>73.12</v>
      </c>
      <c r="Q14" s="92">
        <f t="shared" si="9"/>
        <v>152</v>
      </c>
      <c r="R14" s="93">
        <f t="shared" si="10"/>
        <v>10.24</v>
      </c>
      <c r="S14" s="58">
        <f t="shared" si="11"/>
        <v>73.12</v>
      </c>
      <c r="T14" s="58">
        <f>(L14-R14-M14)*R22</f>
        <v>1510.8</v>
      </c>
      <c r="U14" s="94">
        <v>80</v>
      </c>
    </row>
    <row r="15" spans="1:21" ht="12.75" customHeight="1">
      <c r="A15" s="87" t="s">
        <v>153</v>
      </c>
      <c r="B15" s="87" t="s">
        <v>154</v>
      </c>
      <c r="C15" s="88">
        <v>64.41</v>
      </c>
      <c r="D15" s="87" t="s">
        <v>158</v>
      </c>
      <c r="E15" s="89">
        <v>1.2</v>
      </c>
      <c r="F15" s="90">
        <f t="shared" si="0"/>
        <v>1.13</v>
      </c>
      <c r="G15" s="91">
        <f t="shared" si="1"/>
        <v>62.81</v>
      </c>
      <c r="H15" s="90">
        <f t="shared" si="2"/>
        <v>70.98</v>
      </c>
      <c r="I15" s="91">
        <v>1.7</v>
      </c>
      <c r="J15" s="91">
        <v>1.6</v>
      </c>
      <c r="K15" s="92">
        <f t="shared" si="3"/>
        <v>1.65</v>
      </c>
      <c r="L15" s="92">
        <f t="shared" si="4"/>
        <v>207.27</v>
      </c>
      <c r="M15" s="112">
        <f t="shared" si="5"/>
        <v>37.12</v>
      </c>
      <c r="N15" s="115">
        <f t="shared" si="6"/>
        <v>86.61</v>
      </c>
      <c r="O15" s="115">
        <f t="shared" si="7"/>
        <v>1732.2</v>
      </c>
      <c r="P15" s="115">
        <f t="shared" si="8"/>
        <v>86.61</v>
      </c>
      <c r="Q15" s="92">
        <f t="shared" si="9"/>
        <v>200</v>
      </c>
      <c r="R15" s="93">
        <f t="shared" si="10"/>
        <v>12.56</v>
      </c>
      <c r="S15" s="58">
        <f t="shared" si="11"/>
        <v>86.61</v>
      </c>
      <c r="T15" s="58">
        <f>(L15-R15-M15)*R22</f>
        <v>2363.85</v>
      </c>
      <c r="U15" s="94">
        <v>80</v>
      </c>
    </row>
    <row r="16" spans="1:21" ht="12.75" customHeight="1">
      <c r="A16" s="87" t="s">
        <v>153</v>
      </c>
      <c r="B16" s="87" t="s">
        <v>155</v>
      </c>
      <c r="C16" s="88">
        <v>72.03</v>
      </c>
      <c r="D16" s="87" t="s">
        <v>144</v>
      </c>
      <c r="E16" s="89">
        <v>0.72</v>
      </c>
      <c r="F16" s="90">
        <f t="shared" si="0"/>
        <v>0.41</v>
      </c>
      <c r="G16" s="91">
        <f t="shared" si="1"/>
        <v>70.43</v>
      </c>
      <c r="H16" s="90">
        <f t="shared" si="2"/>
        <v>28.88</v>
      </c>
      <c r="I16" s="91">
        <v>1.63</v>
      </c>
      <c r="J16" s="91">
        <v>1.45</v>
      </c>
      <c r="K16" s="92">
        <f t="shared" si="3"/>
        <v>1.54</v>
      </c>
      <c r="L16" s="92">
        <f t="shared" si="4"/>
        <v>164.86</v>
      </c>
      <c r="M16" s="112">
        <f t="shared" si="5"/>
        <v>37.58</v>
      </c>
      <c r="N16" s="115">
        <f t="shared" si="6"/>
        <v>87.69</v>
      </c>
      <c r="O16" s="115">
        <f t="shared" si="7"/>
        <v>1753.8</v>
      </c>
      <c r="P16" s="115">
        <f t="shared" si="8"/>
        <v>87.69</v>
      </c>
      <c r="Q16" s="92">
        <f t="shared" si="9"/>
        <v>152</v>
      </c>
      <c r="R16" s="93">
        <f t="shared" si="10"/>
        <v>10.71</v>
      </c>
      <c r="S16" s="58">
        <f t="shared" si="11"/>
        <v>87.69</v>
      </c>
      <c r="T16" s="58">
        <f>(L16-R16-M16)*R22</f>
        <v>1748.55</v>
      </c>
      <c r="U16" s="94">
        <v>80</v>
      </c>
    </row>
    <row r="17" spans="1:21" ht="12.75" customHeight="1">
      <c r="A17" s="87" t="s">
        <v>153</v>
      </c>
      <c r="B17" s="87" t="s">
        <v>156</v>
      </c>
      <c r="C17" s="88">
        <v>59.49</v>
      </c>
      <c r="D17" s="87" t="s">
        <v>159</v>
      </c>
      <c r="E17" s="89">
        <f>(0.72+0.72)</f>
        <v>1.44</v>
      </c>
      <c r="F17" s="90">
        <f t="shared" si="0"/>
        <v>1.63</v>
      </c>
      <c r="G17" s="91">
        <f t="shared" si="1"/>
        <v>57.89</v>
      </c>
      <c r="H17" s="90">
        <f t="shared" si="2"/>
        <v>94.36</v>
      </c>
      <c r="I17" s="91">
        <v>1.7</v>
      </c>
      <c r="J17" s="91">
        <v>1.79</v>
      </c>
      <c r="K17" s="92">
        <f t="shared" si="3"/>
        <v>1.75</v>
      </c>
      <c r="L17" s="92">
        <f t="shared" si="4"/>
        <v>226.93</v>
      </c>
      <c r="M17" s="112">
        <f t="shared" si="5"/>
        <v>35.88</v>
      </c>
      <c r="N17" s="115">
        <f t="shared" si="6"/>
        <v>83.72</v>
      </c>
      <c r="O17" s="115">
        <f t="shared" si="7"/>
        <v>1674.4</v>
      </c>
      <c r="P17" s="115">
        <f t="shared" si="8"/>
        <v>83.72</v>
      </c>
      <c r="Q17" s="92">
        <f t="shared" si="9"/>
        <v>224</v>
      </c>
      <c r="R17" s="93">
        <f t="shared" si="10"/>
        <v>12.97</v>
      </c>
      <c r="S17" s="58">
        <f t="shared" si="11"/>
        <v>83.72</v>
      </c>
      <c r="T17" s="58">
        <f>(L17-R17-M17)*R22</f>
        <v>2671.2</v>
      </c>
      <c r="U17" s="94">
        <v>80</v>
      </c>
    </row>
    <row r="18" spans="1:21" ht="12.75" customHeight="1">
      <c r="A18" s="87" t="s">
        <v>154</v>
      </c>
      <c r="B18" s="87" t="s">
        <v>157</v>
      </c>
      <c r="C18" s="88">
        <v>80.52</v>
      </c>
      <c r="D18" s="87" t="s">
        <v>144</v>
      </c>
      <c r="E18" s="89">
        <v>0.72</v>
      </c>
      <c r="F18" s="90">
        <f t="shared" si="0"/>
        <v>0.41</v>
      </c>
      <c r="G18" s="91">
        <f t="shared" si="1"/>
        <v>78.92</v>
      </c>
      <c r="H18" s="90">
        <f t="shared" si="2"/>
        <v>32.36</v>
      </c>
      <c r="I18" s="91">
        <v>1.58</v>
      </c>
      <c r="J18" s="91">
        <v>1.3</v>
      </c>
      <c r="K18" s="92">
        <f t="shared" si="3"/>
        <v>1.44</v>
      </c>
      <c r="L18" s="92">
        <f t="shared" si="4"/>
        <v>172.74</v>
      </c>
      <c r="M18" s="112">
        <f t="shared" si="5"/>
        <v>38.51</v>
      </c>
      <c r="N18" s="115">
        <f t="shared" si="6"/>
        <v>89.87</v>
      </c>
      <c r="O18" s="115">
        <f t="shared" si="7"/>
        <v>1797.4</v>
      </c>
      <c r="P18" s="115">
        <f t="shared" si="8"/>
        <v>89.87</v>
      </c>
      <c r="Q18" s="92">
        <f t="shared" si="9"/>
        <v>152</v>
      </c>
      <c r="R18" s="93">
        <f t="shared" si="10"/>
        <v>12</v>
      </c>
      <c r="S18" s="58">
        <f t="shared" si="11"/>
        <v>89.87</v>
      </c>
      <c r="T18" s="58">
        <f>(L18-R18-M18)*R22</f>
        <v>1833.45</v>
      </c>
      <c r="U18" s="94">
        <v>80</v>
      </c>
    </row>
    <row r="19" spans="1:21" ht="12.75" customHeight="1">
      <c r="A19" s="87" t="s">
        <v>154</v>
      </c>
      <c r="B19" s="87" t="s">
        <v>151</v>
      </c>
      <c r="C19" s="88">
        <v>63.95</v>
      </c>
      <c r="D19" s="87" t="s">
        <v>141</v>
      </c>
      <c r="E19" s="89">
        <v>0.96</v>
      </c>
      <c r="F19" s="90">
        <f t="shared" si="0"/>
        <v>0.72</v>
      </c>
      <c r="G19" s="91">
        <f t="shared" si="1"/>
        <v>62.35</v>
      </c>
      <c r="H19" s="90">
        <f t="shared" si="2"/>
        <v>44.89</v>
      </c>
      <c r="I19" s="91">
        <v>1.6</v>
      </c>
      <c r="J19" s="91">
        <v>1.5</v>
      </c>
      <c r="K19" s="92">
        <f t="shared" si="3"/>
        <v>1.55</v>
      </c>
      <c r="L19" s="92">
        <f t="shared" si="4"/>
        <v>170.09</v>
      </c>
      <c r="M19" s="112">
        <f t="shared" si="5"/>
        <v>34.27</v>
      </c>
      <c r="N19" s="115">
        <f t="shared" si="6"/>
        <v>79.96</v>
      </c>
      <c r="O19" s="115">
        <f t="shared" si="7"/>
        <v>1599.2</v>
      </c>
      <c r="P19" s="115">
        <f t="shared" si="8"/>
        <v>79.96</v>
      </c>
      <c r="Q19" s="92">
        <f t="shared" si="9"/>
        <v>176</v>
      </c>
      <c r="R19" s="93">
        <f t="shared" si="10"/>
        <v>10.97</v>
      </c>
      <c r="S19" s="58">
        <f t="shared" si="11"/>
        <v>79.96</v>
      </c>
      <c r="T19" s="58">
        <f>(L19-R19-M19)*R22</f>
        <v>1872.75</v>
      </c>
      <c r="U19" s="94">
        <v>80</v>
      </c>
    </row>
    <row r="20" spans="1:21" ht="12.75">
      <c r="A20" s="143" t="s">
        <v>3</v>
      </c>
      <c r="B20" s="144"/>
      <c r="C20" s="137">
        <f>C12+C13+C14+C15+C16+C17+C18+C19</f>
        <v>547.29</v>
      </c>
      <c r="D20" s="136"/>
      <c r="E20" s="136"/>
      <c r="F20" s="90"/>
      <c r="G20" s="92">
        <f>SUM(G12:G19)</f>
        <v>534.49</v>
      </c>
      <c r="H20" s="92">
        <f>SUM(H12:H19)</f>
        <v>354.32</v>
      </c>
      <c r="I20" s="109"/>
      <c r="J20" s="109"/>
      <c r="K20" s="92">
        <f>SUM(K12:K19)/8</f>
        <v>1.52</v>
      </c>
      <c r="L20" s="92">
        <f aca="true" t="shared" si="12" ref="L20:T20">SUM(L12:L19)</f>
        <v>1377.25</v>
      </c>
      <c r="M20" s="112">
        <f t="shared" si="12"/>
        <v>279.9</v>
      </c>
      <c r="N20" s="115">
        <f t="shared" si="12"/>
        <v>653.11</v>
      </c>
      <c r="O20" s="115">
        <f t="shared" si="12"/>
        <v>13062.2</v>
      </c>
      <c r="P20" s="115">
        <f t="shared" si="12"/>
        <v>653.11</v>
      </c>
      <c r="Q20" s="92">
        <f t="shared" si="12"/>
        <v>1360</v>
      </c>
      <c r="R20" s="93">
        <f t="shared" si="12"/>
        <v>89.93</v>
      </c>
      <c r="S20" s="58">
        <f t="shared" si="12"/>
        <v>653.11</v>
      </c>
      <c r="T20" s="111">
        <f t="shared" si="12"/>
        <v>15111.3</v>
      </c>
      <c r="U20" s="94"/>
    </row>
    <row r="21" spans="1:21" ht="12.75">
      <c r="A21" s="81"/>
      <c r="B21" s="95" t="s">
        <v>106</v>
      </c>
      <c r="C21" s="133"/>
      <c r="D21" s="81"/>
      <c r="E21" s="81"/>
      <c r="F21" s="81"/>
      <c r="G21" s="81"/>
      <c r="H21" s="81"/>
      <c r="I21" s="81"/>
      <c r="J21" s="81"/>
      <c r="K21" s="81"/>
      <c r="L21" s="96"/>
      <c r="M21" s="81"/>
      <c r="N21" s="81"/>
      <c r="O21" s="81"/>
      <c r="P21" s="81"/>
      <c r="Q21" s="81"/>
      <c r="R21" s="96"/>
      <c r="S21" s="96"/>
      <c r="T21" s="81"/>
      <c r="U21" s="81"/>
    </row>
    <row r="22" spans="1:21" ht="42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81"/>
      <c r="N22" s="81"/>
      <c r="O22" s="81"/>
      <c r="P22" s="81"/>
      <c r="Q22" s="97" t="s">
        <v>129</v>
      </c>
      <c r="R22" s="99">
        <v>15</v>
      </c>
      <c r="S22" s="98"/>
      <c r="T22" s="81"/>
      <c r="U22" s="81"/>
    </row>
    <row r="23" spans="3:17" ht="12.75">
      <c r="C23" s="16"/>
      <c r="D23" s="16"/>
      <c r="E23" s="16"/>
      <c r="F23" s="16"/>
      <c r="G23" s="16"/>
      <c r="K23" s="16"/>
      <c r="M23" s="16"/>
      <c r="N23" s="16"/>
      <c r="O23" s="16"/>
      <c r="P23" s="16"/>
      <c r="Q23" s="16"/>
    </row>
    <row r="24" spans="3:20" ht="21" customHeight="1">
      <c r="C24" s="16"/>
      <c r="D24" s="16"/>
      <c r="E24" s="16"/>
      <c r="F24" s="16"/>
      <c r="G24" s="16"/>
      <c r="H24" s="16"/>
      <c r="I24" s="16"/>
      <c r="J24" s="16"/>
      <c r="L24" s="16"/>
      <c r="R24" s="16"/>
      <c r="S24" s="16"/>
      <c r="T24" s="16"/>
    </row>
    <row r="25" spans="3:16" ht="12.75" customHeight="1">
      <c r="C25" s="16"/>
      <c r="D25" s="16"/>
      <c r="E25" s="16"/>
      <c r="F25" s="16"/>
      <c r="G25" s="16"/>
      <c r="K25" s="16"/>
      <c r="M25" s="16"/>
      <c r="N25" s="16"/>
      <c r="O25" s="16"/>
      <c r="P25" s="16"/>
    </row>
    <row r="26" spans="3:16" ht="45" customHeight="1">
      <c r="C26" s="16"/>
      <c r="D26" s="16"/>
      <c r="E26" s="16"/>
      <c r="M26" s="18"/>
      <c r="N26" s="18"/>
      <c r="O26" s="18"/>
      <c r="P26" s="18"/>
    </row>
    <row r="27" spans="4:16" ht="12.75">
      <c r="D27" s="16"/>
      <c r="M27" s="19"/>
      <c r="N27" s="19"/>
      <c r="O27" s="19"/>
      <c r="P27" s="19"/>
    </row>
    <row r="28" spans="13:16" ht="12.75">
      <c r="M28" s="34"/>
      <c r="N28" s="34"/>
      <c r="O28" s="34"/>
      <c r="P28" s="34"/>
    </row>
    <row r="30" spans="13:16" ht="12.75">
      <c r="M30" s="17"/>
      <c r="N30" s="17"/>
      <c r="O30" s="17"/>
      <c r="P30" s="17"/>
    </row>
  </sheetData>
  <sheetProtection/>
  <mergeCells count="30">
    <mergeCell ref="M8:M9"/>
    <mergeCell ref="E7:E9"/>
    <mergeCell ref="D7:D9"/>
    <mergeCell ref="R7:R9"/>
    <mergeCell ref="B3:G3"/>
    <mergeCell ref="B4:G4"/>
    <mergeCell ref="A6:B8"/>
    <mergeCell ref="J7:J9"/>
    <mergeCell ref="F7:F9"/>
    <mergeCell ref="I7:I9"/>
    <mergeCell ref="J2:T2"/>
    <mergeCell ref="N7:P7"/>
    <mergeCell ref="T8:T9"/>
    <mergeCell ref="S7:T7"/>
    <mergeCell ref="I6:U6"/>
    <mergeCell ref="S8:S9"/>
    <mergeCell ref="P8:P9"/>
    <mergeCell ref="K7:K9"/>
    <mergeCell ref="L7:L9"/>
    <mergeCell ref="U7:U9"/>
    <mergeCell ref="A20:B20"/>
    <mergeCell ref="A22:L22"/>
    <mergeCell ref="Q7:Q9"/>
    <mergeCell ref="N8:N9"/>
    <mergeCell ref="O8:O9"/>
    <mergeCell ref="A5:U5"/>
    <mergeCell ref="G7:G9"/>
    <mergeCell ref="C7:C9"/>
    <mergeCell ref="H7:H9"/>
    <mergeCell ref="C6:H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zoomScale="75" zoomScaleNormal="75" zoomScaleSheetLayoutView="80" zoomScalePageLayoutView="0" workbookViewId="0" topLeftCell="A1">
      <selection activeCell="A5" sqref="A5:Q5"/>
    </sheetView>
  </sheetViews>
  <sheetFormatPr defaultColWidth="9.140625" defaultRowHeight="12.75"/>
  <cols>
    <col min="1" max="1" width="11.8515625" style="0" customWidth="1"/>
    <col min="2" max="2" width="14.57421875" style="0" customWidth="1"/>
    <col min="3" max="3" width="11.28125" style="0" customWidth="1"/>
    <col min="4" max="4" width="13.421875" style="0" customWidth="1"/>
    <col min="5" max="5" width="27.00390625" style="0" customWidth="1"/>
    <col min="6" max="6" width="12.57421875" style="0" customWidth="1"/>
    <col min="7" max="7" width="14.140625" style="0" customWidth="1"/>
    <col min="8" max="8" width="13.00390625" style="0" customWidth="1"/>
    <col min="9" max="9" width="13.140625" style="0" customWidth="1"/>
    <col min="10" max="10" width="14.00390625" style="0" customWidth="1"/>
    <col min="11" max="11" width="14.8515625" style="0" customWidth="1"/>
    <col min="12" max="12" width="14.00390625" style="0" customWidth="1"/>
    <col min="13" max="13" width="13.8515625" style="0" customWidth="1"/>
    <col min="14" max="14" width="18.00390625" style="0" customWidth="1"/>
    <col min="15" max="15" width="13.421875" style="0" customWidth="1"/>
    <col min="16" max="16" width="11.7109375" style="0" customWidth="1"/>
    <col min="17" max="17" width="13.00390625" style="0" customWidth="1"/>
  </cols>
  <sheetData>
    <row r="2" spans="2:17" ht="18">
      <c r="B2" s="176" t="s">
        <v>1</v>
      </c>
      <c r="C2" s="176"/>
      <c r="D2" s="176"/>
      <c r="E2" s="176"/>
      <c r="F2" s="176"/>
      <c r="G2" s="176"/>
      <c r="H2" s="176"/>
      <c r="I2" s="176"/>
      <c r="J2" s="176"/>
      <c r="K2" s="176"/>
      <c r="L2" s="177"/>
      <c r="M2" s="177"/>
      <c r="N2" s="177"/>
      <c r="O2" s="177"/>
      <c r="P2" s="177"/>
      <c r="Q2" s="177"/>
    </row>
    <row r="3" spans="2:17" ht="18">
      <c r="B3" s="50" t="s">
        <v>2</v>
      </c>
      <c r="C3" s="51"/>
      <c r="D3" s="51"/>
      <c r="E3" s="51"/>
      <c r="F3" s="51"/>
      <c r="G3" s="51"/>
      <c r="H3" s="51"/>
      <c r="I3" s="163" t="s">
        <v>94</v>
      </c>
      <c r="J3" s="163"/>
      <c r="K3" s="163"/>
      <c r="L3" s="163"/>
      <c r="M3" s="163"/>
      <c r="N3" s="163"/>
      <c r="O3" s="163"/>
      <c r="P3" s="163"/>
      <c r="Q3" s="163"/>
    </row>
    <row r="5" spans="1:17" ht="30" customHeight="1" thickBot="1">
      <c r="A5" s="178" t="s">
        <v>165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17" ht="13.5" thickTop="1">
      <c r="A6" s="181" t="s">
        <v>11</v>
      </c>
      <c r="B6" s="182"/>
      <c r="C6" s="179" t="s">
        <v>42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3.5" thickBot="1">
      <c r="A7" s="183"/>
      <c r="B7" s="184"/>
      <c r="C7" s="174" t="s">
        <v>43</v>
      </c>
      <c r="D7" s="174" t="s">
        <v>23</v>
      </c>
      <c r="E7" s="185" t="s">
        <v>97</v>
      </c>
      <c r="F7" s="170" t="s">
        <v>45</v>
      </c>
      <c r="G7" s="170" t="s">
        <v>46</v>
      </c>
      <c r="H7" s="170" t="s">
        <v>47</v>
      </c>
      <c r="I7" s="170" t="s">
        <v>48</v>
      </c>
      <c r="J7" s="170" t="s">
        <v>96</v>
      </c>
      <c r="K7" s="173" t="s">
        <v>49</v>
      </c>
      <c r="L7" s="173" t="s">
        <v>50</v>
      </c>
      <c r="M7" s="168" t="s">
        <v>51</v>
      </c>
      <c r="N7" s="164" t="s">
        <v>104</v>
      </c>
      <c r="O7" s="164" t="s">
        <v>103</v>
      </c>
      <c r="P7" s="166" t="s">
        <v>101</v>
      </c>
      <c r="Q7" s="164" t="s">
        <v>102</v>
      </c>
    </row>
    <row r="8" spans="1:17" ht="64.5" customHeight="1" thickTop="1">
      <c r="A8" s="13" t="s">
        <v>52</v>
      </c>
      <c r="B8" s="13" t="s">
        <v>53</v>
      </c>
      <c r="C8" s="175"/>
      <c r="D8" s="175"/>
      <c r="E8" s="175"/>
      <c r="F8" s="169"/>
      <c r="G8" s="169"/>
      <c r="H8" s="169"/>
      <c r="I8" s="169"/>
      <c r="J8" s="169"/>
      <c r="K8" s="167"/>
      <c r="L8" s="167"/>
      <c r="M8" s="169"/>
      <c r="N8" s="165"/>
      <c r="O8" s="165"/>
      <c r="P8" s="167"/>
      <c r="Q8" s="165"/>
    </row>
    <row r="9" spans="1:17" ht="12.75">
      <c r="A9" s="20" t="s">
        <v>24</v>
      </c>
      <c r="B9" s="20" t="s">
        <v>25</v>
      </c>
      <c r="C9" s="20" t="s">
        <v>26</v>
      </c>
      <c r="D9" s="20" t="s">
        <v>27</v>
      </c>
      <c r="E9" s="20" t="s">
        <v>28</v>
      </c>
      <c r="F9" s="15" t="s">
        <v>29</v>
      </c>
      <c r="G9" s="15" t="s">
        <v>30</v>
      </c>
      <c r="H9" s="15" t="s">
        <v>31</v>
      </c>
      <c r="I9" s="15" t="s">
        <v>32</v>
      </c>
      <c r="J9" s="15" t="s">
        <v>33</v>
      </c>
      <c r="K9" s="15" t="s">
        <v>37</v>
      </c>
      <c r="L9" s="15" t="s">
        <v>38</v>
      </c>
      <c r="M9" s="15" t="s">
        <v>34</v>
      </c>
      <c r="N9" s="41" t="s">
        <v>35</v>
      </c>
      <c r="O9" s="41" t="s">
        <v>36</v>
      </c>
      <c r="P9" s="15" t="s">
        <v>54</v>
      </c>
      <c r="Q9" s="41" t="s">
        <v>55</v>
      </c>
    </row>
    <row r="10" spans="1:17" ht="12.75">
      <c r="A10" s="68" t="s">
        <v>149</v>
      </c>
      <c r="B10" s="68" t="s">
        <v>144</v>
      </c>
      <c r="C10" s="26">
        <v>1</v>
      </c>
      <c r="D10" s="27">
        <v>0.96</v>
      </c>
      <c r="E10" s="14">
        <v>0.4</v>
      </c>
      <c r="F10" s="77">
        <v>2.25</v>
      </c>
      <c r="G10" s="77">
        <f aca="true" t="shared" si="0" ref="G10:G18">E10+F10</f>
        <v>2.65</v>
      </c>
      <c r="H10" s="14">
        <v>1.6</v>
      </c>
      <c r="I10" s="14">
        <f aca="true" t="shared" si="1" ref="I10:I18">E10+H10</f>
        <v>2</v>
      </c>
      <c r="J10" s="14">
        <f aca="true" t="shared" si="2" ref="J10:J18">G10*I10</f>
        <v>5.3</v>
      </c>
      <c r="K10" s="28">
        <v>0.1</v>
      </c>
      <c r="L10" s="28">
        <v>1.47</v>
      </c>
      <c r="M10" s="14">
        <f aca="true" t="shared" si="3" ref="M10:M18">K10+L10</f>
        <v>1.57</v>
      </c>
      <c r="N10" s="40">
        <f aca="true" t="shared" si="4" ref="N10:N18">K10*J10</f>
        <v>0.53</v>
      </c>
      <c r="O10" s="40">
        <f aca="true" t="shared" si="5" ref="O10:O18">J10*M10</f>
        <v>8.32</v>
      </c>
      <c r="P10" s="28">
        <f aca="true" t="shared" si="6" ref="P10:P18">(F10*H10)*M10</f>
        <v>5.65</v>
      </c>
      <c r="Q10" s="40">
        <f aca="true" t="shared" si="7" ref="Q10:Q18">O10-P10</f>
        <v>2.67</v>
      </c>
    </row>
    <row r="11" spans="1:17" ht="12.75">
      <c r="A11" s="68" t="s">
        <v>150</v>
      </c>
      <c r="B11" s="68" t="s">
        <v>144</v>
      </c>
      <c r="C11" s="26">
        <v>1</v>
      </c>
      <c r="D11" s="27">
        <v>0.72</v>
      </c>
      <c r="E11" s="14">
        <v>0.4</v>
      </c>
      <c r="F11" s="77">
        <v>1.8</v>
      </c>
      <c r="G11" s="77">
        <f t="shared" si="0"/>
        <v>2.2</v>
      </c>
      <c r="H11" s="14">
        <v>1.6</v>
      </c>
      <c r="I11" s="14">
        <f t="shared" si="1"/>
        <v>2</v>
      </c>
      <c r="J11" s="14">
        <f t="shared" si="2"/>
        <v>4.4</v>
      </c>
      <c r="K11" s="28">
        <v>0.1</v>
      </c>
      <c r="L11" s="28">
        <v>1.42</v>
      </c>
      <c r="M11" s="14">
        <f t="shared" si="3"/>
        <v>1.52</v>
      </c>
      <c r="N11" s="40">
        <f t="shared" si="4"/>
        <v>0.44</v>
      </c>
      <c r="O11" s="40">
        <f t="shared" si="5"/>
        <v>6.69</v>
      </c>
      <c r="P11" s="28">
        <f t="shared" si="6"/>
        <v>4.38</v>
      </c>
      <c r="Q11" s="40">
        <f t="shared" si="7"/>
        <v>2.31</v>
      </c>
    </row>
    <row r="12" spans="1:17" ht="12.75">
      <c r="A12" s="68" t="s">
        <v>153</v>
      </c>
      <c r="B12" s="68" t="s">
        <v>158</v>
      </c>
      <c r="C12" s="26">
        <v>1</v>
      </c>
      <c r="D12" s="27">
        <v>0.72</v>
      </c>
      <c r="E12" s="14">
        <v>0.4</v>
      </c>
      <c r="F12" s="77">
        <v>1.8</v>
      </c>
      <c r="G12" s="77">
        <f t="shared" si="0"/>
        <v>2.2</v>
      </c>
      <c r="H12" s="14">
        <v>1.6</v>
      </c>
      <c r="I12" s="14">
        <f t="shared" si="1"/>
        <v>2</v>
      </c>
      <c r="J12" s="14">
        <f t="shared" si="2"/>
        <v>4.4</v>
      </c>
      <c r="K12" s="28">
        <v>0.1</v>
      </c>
      <c r="L12" s="28">
        <v>1.7</v>
      </c>
      <c r="M12" s="14">
        <f t="shared" si="3"/>
        <v>1.8</v>
      </c>
      <c r="N12" s="40">
        <f t="shared" si="4"/>
        <v>0.44</v>
      </c>
      <c r="O12" s="40">
        <f t="shared" si="5"/>
        <v>7.92</v>
      </c>
      <c r="P12" s="28">
        <f t="shared" si="6"/>
        <v>5.18</v>
      </c>
      <c r="Q12" s="40">
        <f t="shared" si="7"/>
        <v>2.74</v>
      </c>
    </row>
    <row r="13" spans="1:17" ht="12.75">
      <c r="A13" s="68" t="s">
        <v>154</v>
      </c>
      <c r="B13" s="68" t="s">
        <v>144</v>
      </c>
      <c r="C13" s="26">
        <v>1</v>
      </c>
      <c r="D13" s="27">
        <v>0.72</v>
      </c>
      <c r="E13" s="14">
        <v>0.4</v>
      </c>
      <c r="F13" s="77">
        <v>1.8</v>
      </c>
      <c r="G13" s="77">
        <f t="shared" si="0"/>
        <v>2.2</v>
      </c>
      <c r="H13" s="14">
        <v>1.6</v>
      </c>
      <c r="I13" s="14">
        <f t="shared" si="1"/>
        <v>2</v>
      </c>
      <c r="J13" s="14">
        <f t="shared" si="2"/>
        <v>4.4</v>
      </c>
      <c r="K13" s="28">
        <v>0.1</v>
      </c>
      <c r="L13" s="28">
        <v>1.6</v>
      </c>
      <c r="M13" s="14">
        <f t="shared" si="3"/>
        <v>1.7</v>
      </c>
      <c r="N13" s="40">
        <f t="shared" si="4"/>
        <v>0.44</v>
      </c>
      <c r="O13" s="40">
        <f t="shared" si="5"/>
        <v>7.48</v>
      </c>
      <c r="P13" s="28">
        <f t="shared" si="6"/>
        <v>4.9</v>
      </c>
      <c r="Q13" s="40">
        <f t="shared" si="7"/>
        <v>2.58</v>
      </c>
    </row>
    <row r="14" spans="1:17" ht="12.75">
      <c r="A14" s="68" t="s">
        <v>155</v>
      </c>
      <c r="B14" s="68" t="s">
        <v>144</v>
      </c>
      <c r="C14" s="26">
        <v>1</v>
      </c>
      <c r="D14" s="27">
        <v>0.72</v>
      </c>
      <c r="E14" s="14">
        <v>0.4</v>
      </c>
      <c r="F14" s="77">
        <v>1.8</v>
      </c>
      <c r="G14" s="77">
        <f t="shared" si="0"/>
        <v>2.2</v>
      </c>
      <c r="H14" s="14">
        <v>1.6</v>
      </c>
      <c r="I14" s="14">
        <f t="shared" si="1"/>
        <v>2</v>
      </c>
      <c r="J14" s="14">
        <f t="shared" si="2"/>
        <v>4.4</v>
      </c>
      <c r="K14" s="28">
        <v>0.1</v>
      </c>
      <c r="L14" s="28">
        <v>1.45</v>
      </c>
      <c r="M14" s="14">
        <f t="shared" si="3"/>
        <v>1.55</v>
      </c>
      <c r="N14" s="40">
        <f t="shared" si="4"/>
        <v>0.44</v>
      </c>
      <c r="O14" s="40">
        <f t="shared" si="5"/>
        <v>6.82</v>
      </c>
      <c r="P14" s="28">
        <f t="shared" si="6"/>
        <v>4.46</v>
      </c>
      <c r="Q14" s="40">
        <f t="shared" si="7"/>
        <v>2.36</v>
      </c>
    </row>
    <row r="15" spans="1:17" ht="12.75">
      <c r="A15" s="68" t="s">
        <v>157</v>
      </c>
      <c r="B15" s="68" t="s">
        <v>144</v>
      </c>
      <c r="C15" s="26">
        <v>1</v>
      </c>
      <c r="D15" s="27">
        <v>0.72</v>
      </c>
      <c r="E15" s="14">
        <v>0.4</v>
      </c>
      <c r="F15" s="77">
        <v>1.8</v>
      </c>
      <c r="G15" s="77">
        <f t="shared" si="0"/>
        <v>2.2</v>
      </c>
      <c r="H15" s="14">
        <v>1.6</v>
      </c>
      <c r="I15" s="14">
        <f t="shared" si="1"/>
        <v>2</v>
      </c>
      <c r="J15" s="14">
        <f t="shared" si="2"/>
        <v>4.4</v>
      </c>
      <c r="K15" s="28">
        <v>0.1</v>
      </c>
      <c r="L15" s="28">
        <v>1.45</v>
      </c>
      <c r="M15" s="14">
        <f t="shared" si="3"/>
        <v>1.55</v>
      </c>
      <c r="N15" s="40">
        <f t="shared" si="4"/>
        <v>0.44</v>
      </c>
      <c r="O15" s="40">
        <f t="shared" si="5"/>
        <v>6.82</v>
      </c>
      <c r="P15" s="28">
        <f t="shared" si="6"/>
        <v>4.46</v>
      </c>
      <c r="Q15" s="40">
        <f t="shared" si="7"/>
        <v>2.36</v>
      </c>
    </row>
    <row r="16" spans="1:17" ht="12.75">
      <c r="A16" s="68" t="s">
        <v>152</v>
      </c>
      <c r="B16" s="68" t="s">
        <v>160</v>
      </c>
      <c r="C16" s="26">
        <v>1</v>
      </c>
      <c r="D16" s="27">
        <v>0.72</v>
      </c>
      <c r="E16" s="14">
        <v>0.4</v>
      </c>
      <c r="F16" s="77">
        <v>4</v>
      </c>
      <c r="G16" s="77">
        <f t="shared" si="0"/>
        <v>4.4</v>
      </c>
      <c r="H16" s="14">
        <v>4</v>
      </c>
      <c r="I16" s="14">
        <f t="shared" si="1"/>
        <v>4.4</v>
      </c>
      <c r="J16" s="14">
        <f t="shared" si="2"/>
        <v>19.36</v>
      </c>
      <c r="K16" s="28">
        <v>0.1</v>
      </c>
      <c r="L16" s="28">
        <v>2.2</v>
      </c>
      <c r="M16" s="14">
        <f t="shared" si="3"/>
        <v>2.3</v>
      </c>
      <c r="N16" s="40">
        <f t="shared" si="4"/>
        <v>1.94</v>
      </c>
      <c r="O16" s="40">
        <f t="shared" si="5"/>
        <v>44.53</v>
      </c>
      <c r="P16" s="28">
        <f t="shared" si="6"/>
        <v>36.8</v>
      </c>
      <c r="Q16" s="40">
        <f t="shared" si="7"/>
        <v>7.73</v>
      </c>
    </row>
    <row r="17" spans="1:17" ht="12.75">
      <c r="A17" s="68" t="s">
        <v>151</v>
      </c>
      <c r="B17" s="68" t="s">
        <v>160</v>
      </c>
      <c r="C17" s="26">
        <v>1</v>
      </c>
      <c r="D17" s="27">
        <v>0.72</v>
      </c>
      <c r="E17" s="14">
        <v>0.4</v>
      </c>
      <c r="F17" s="77">
        <v>4</v>
      </c>
      <c r="G17" s="77">
        <f t="shared" si="0"/>
        <v>4.4</v>
      </c>
      <c r="H17" s="14">
        <v>4</v>
      </c>
      <c r="I17" s="14">
        <f t="shared" si="1"/>
        <v>4.4</v>
      </c>
      <c r="J17" s="14">
        <f t="shared" si="2"/>
        <v>19.36</v>
      </c>
      <c r="K17" s="28">
        <v>0.1</v>
      </c>
      <c r="L17" s="28">
        <v>2.2</v>
      </c>
      <c r="M17" s="14">
        <f t="shared" si="3"/>
        <v>2.3</v>
      </c>
      <c r="N17" s="40">
        <f t="shared" si="4"/>
        <v>1.94</v>
      </c>
      <c r="O17" s="40">
        <f t="shared" si="5"/>
        <v>44.53</v>
      </c>
      <c r="P17" s="28">
        <f t="shared" si="6"/>
        <v>36.8</v>
      </c>
      <c r="Q17" s="40">
        <f t="shared" si="7"/>
        <v>7.73</v>
      </c>
    </row>
    <row r="18" spans="1:17" ht="12.75">
      <c r="A18" s="68" t="s">
        <v>156</v>
      </c>
      <c r="B18" s="68" t="s">
        <v>160</v>
      </c>
      <c r="C18" s="26">
        <v>1</v>
      </c>
      <c r="D18" s="27">
        <v>0.72</v>
      </c>
      <c r="E18" s="14">
        <v>0.4</v>
      </c>
      <c r="F18" s="77">
        <v>4</v>
      </c>
      <c r="G18" s="77">
        <f t="shared" si="0"/>
        <v>4.4</v>
      </c>
      <c r="H18" s="14">
        <v>4</v>
      </c>
      <c r="I18" s="14">
        <f t="shared" si="1"/>
        <v>4.4</v>
      </c>
      <c r="J18" s="14">
        <f t="shared" si="2"/>
        <v>19.36</v>
      </c>
      <c r="K18" s="28">
        <v>0.1</v>
      </c>
      <c r="L18" s="28">
        <v>2.2</v>
      </c>
      <c r="M18" s="14">
        <f t="shared" si="3"/>
        <v>2.3</v>
      </c>
      <c r="N18" s="40">
        <f t="shared" si="4"/>
        <v>1.94</v>
      </c>
      <c r="O18" s="40">
        <f t="shared" si="5"/>
        <v>44.53</v>
      </c>
      <c r="P18" s="28">
        <f t="shared" si="6"/>
        <v>36.8</v>
      </c>
      <c r="Q18" s="40">
        <f t="shared" si="7"/>
        <v>7.73</v>
      </c>
    </row>
    <row r="19" spans="1:17" ht="13.5" thickBot="1">
      <c r="A19" s="171" t="s">
        <v>3</v>
      </c>
      <c r="B19" s="172"/>
      <c r="C19" s="172"/>
      <c r="D19" s="172"/>
      <c r="E19" s="120"/>
      <c r="F19" s="121"/>
      <c r="G19" s="122"/>
      <c r="H19" s="122"/>
      <c r="I19" s="122"/>
      <c r="J19" s="122"/>
      <c r="K19" s="123"/>
      <c r="L19" s="121"/>
      <c r="M19" s="122"/>
      <c r="N19" s="124">
        <f>SUM(N10:N18)</f>
        <v>8.55</v>
      </c>
      <c r="O19" s="124">
        <f>SUM(O10:O18)</f>
        <v>177.64</v>
      </c>
      <c r="P19" s="125"/>
      <c r="Q19" s="126">
        <f>SUM(Q10:Q18)</f>
        <v>38.21</v>
      </c>
    </row>
    <row r="20" ht="12.75">
      <c r="N20" s="16"/>
    </row>
    <row r="22" spans="14:15" ht="51">
      <c r="N22" s="37" t="s">
        <v>140</v>
      </c>
      <c r="O22" s="134">
        <f>(O19-N19-Q19)*15</f>
        <v>1963.2</v>
      </c>
    </row>
    <row r="25" spans="14:15" ht="12.75">
      <c r="N25" s="16"/>
      <c r="O25" s="16"/>
    </row>
    <row r="26" ht="12.75">
      <c r="N26" s="16"/>
    </row>
  </sheetData>
  <sheetProtection/>
  <mergeCells count="22">
    <mergeCell ref="B2:K2"/>
    <mergeCell ref="H7:H8"/>
    <mergeCell ref="L2:Q2"/>
    <mergeCell ref="Q7:Q8"/>
    <mergeCell ref="A5:Q5"/>
    <mergeCell ref="C6:Q6"/>
    <mergeCell ref="A6:B7"/>
    <mergeCell ref="E7:E8"/>
    <mergeCell ref="G7:G8"/>
    <mergeCell ref="L7:L8"/>
    <mergeCell ref="A19:D19"/>
    <mergeCell ref="K7:K8"/>
    <mergeCell ref="D7:D8"/>
    <mergeCell ref="J7:J8"/>
    <mergeCell ref="F7:F8"/>
    <mergeCell ref="C7:C8"/>
    <mergeCell ref="I3:Q3"/>
    <mergeCell ref="O7:O8"/>
    <mergeCell ref="N7:N8"/>
    <mergeCell ref="P7:P8"/>
    <mergeCell ref="M7:M8"/>
    <mergeCell ref="I7:I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"/>
  <sheetViews>
    <sheetView view="pageBreakPreview" zoomScale="75" zoomScaleNormal="80" zoomScaleSheetLayoutView="75" zoomScalePageLayoutView="0" workbookViewId="0" topLeftCell="A1">
      <selection activeCell="A5" sqref="A5:Q5"/>
    </sheetView>
  </sheetViews>
  <sheetFormatPr defaultColWidth="9.140625" defaultRowHeight="12.75"/>
  <cols>
    <col min="1" max="1" width="12.421875" style="0" customWidth="1"/>
    <col min="2" max="2" width="12.8515625" style="0" customWidth="1"/>
    <col min="3" max="3" width="13.140625" style="0" customWidth="1"/>
    <col min="4" max="4" width="13.421875" style="0" customWidth="1"/>
    <col min="5" max="5" width="12.28125" style="0" customWidth="1"/>
    <col min="6" max="6" width="12.57421875" style="0" customWidth="1"/>
    <col min="7" max="7" width="14.140625" style="0" customWidth="1"/>
    <col min="8" max="8" width="13.00390625" style="0" customWidth="1"/>
    <col min="9" max="9" width="13.140625" style="0" customWidth="1"/>
    <col min="10" max="10" width="14.00390625" style="0" customWidth="1"/>
    <col min="11" max="11" width="14.8515625" style="0" customWidth="1"/>
    <col min="12" max="12" width="12.7109375" style="0" customWidth="1"/>
    <col min="13" max="13" width="13.8515625" style="0" customWidth="1"/>
    <col min="14" max="14" width="16.140625" style="0" customWidth="1"/>
    <col min="15" max="15" width="15.421875" style="0" customWidth="1"/>
    <col min="16" max="16" width="12.8515625" style="0" customWidth="1"/>
    <col min="17" max="17" width="12.421875" style="0" customWidth="1"/>
  </cols>
  <sheetData>
    <row r="2" spans="2:17" ht="18">
      <c r="B2" s="176" t="s">
        <v>1</v>
      </c>
      <c r="C2" s="176"/>
      <c r="D2" s="176"/>
      <c r="E2" s="176"/>
      <c r="F2" s="176"/>
      <c r="G2" s="176"/>
      <c r="H2" s="176"/>
      <c r="I2" s="176"/>
      <c r="J2" s="176"/>
      <c r="K2" s="176"/>
      <c r="L2" s="186"/>
      <c r="M2" s="177"/>
      <c r="N2" s="177"/>
      <c r="O2" s="177"/>
      <c r="P2" s="177"/>
      <c r="Q2" s="177"/>
    </row>
    <row r="3" spans="2:17" ht="18">
      <c r="B3" s="50" t="s">
        <v>2</v>
      </c>
      <c r="C3" s="51"/>
      <c r="D3" s="51"/>
      <c r="E3" s="51"/>
      <c r="F3" s="51"/>
      <c r="G3" s="51"/>
      <c r="H3" s="51"/>
      <c r="I3" s="163" t="s">
        <v>95</v>
      </c>
      <c r="J3" s="163"/>
      <c r="K3" s="163"/>
      <c r="L3" s="163"/>
      <c r="M3" s="163"/>
      <c r="N3" s="163"/>
      <c r="O3" s="163"/>
      <c r="P3" s="163"/>
      <c r="Q3" s="163"/>
    </row>
    <row r="5" spans="1:17" ht="42" customHeight="1" thickBot="1">
      <c r="A5" s="178" t="s">
        <v>166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17" ht="13.5" thickTop="1">
      <c r="A6" s="181" t="s">
        <v>11</v>
      </c>
      <c r="B6" s="182"/>
      <c r="C6" s="179" t="s">
        <v>42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3.5" thickBot="1">
      <c r="A7" s="183"/>
      <c r="B7" s="184"/>
      <c r="C7" s="187" t="s">
        <v>68</v>
      </c>
      <c r="D7" s="174" t="s">
        <v>69</v>
      </c>
      <c r="E7" s="185" t="s">
        <v>44</v>
      </c>
      <c r="F7" s="170" t="s">
        <v>71</v>
      </c>
      <c r="G7" s="170" t="s">
        <v>72</v>
      </c>
      <c r="H7" s="170" t="s">
        <v>73</v>
      </c>
      <c r="I7" s="170" t="s">
        <v>74</v>
      </c>
      <c r="J7" s="170" t="s">
        <v>75</v>
      </c>
      <c r="K7" s="173" t="s">
        <v>49</v>
      </c>
      <c r="L7" s="173" t="s">
        <v>50</v>
      </c>
      <c r="M7" s="168" t="s">
        <v>51</v>
      </c>
      <c r="N7" s="164" t="s">
        <v>19</v>
      </c>
      <c r="O7" s="164" t="s">
        <v>76</v>
      </c>
      <c r="P7" s="173" t="s">
        <v>77</v>
      </c>
      <c r="Q7" s="164" t="s">
        <v>20</v>
      </c>
    </row>
    <row r="8" spans="1:17" ht="48" customHeight="1" thickTop="1">
      <c r="A8" s="13" t="s">
        <v>52</v>
      </c>
      <c r="B8" s="65" t="s">
        <v>100</v>
      </c>
      <c r="C8" s="175"/>
      <c r="D8" s="175"/>
      <c r="E8" s="175"/>
      <c r="F8" s="169"/>
      <c r="G8" s="169"/>
      <c r="H8" s="169"/>
      <c r="I8" s="169"/>
      <c r="J8" s="169"/>
      <c r="K8" s="167"/>
      <c r="L8" s="167"/>
      <c r="M8" s="169"/>
      <c r="N8" s="165"/>
      <c r="O8" s="165"/>
      <c r="P8" s="167"/>
      <c r="Q8" s="165"/>
    </row>
    <row r="9" spans="1:17" ht="12.75">
      <c r="A9" s="20" t="s">
        <v>24</v>
      </c>
      <c r="B9" s="20" t="s">
        <v>25</v>
      </c>
      <c r="C9" s="20" t="s">
        <v>26</v>
      </c>
      <c r="D9" s="20" t="s">
        <v>27</v>
      </c>
      <c r="E9" s="20" t="s">
        <v>28</v>
      </c>
      <c r="F9" s="15" t="s">
        <v>29</v>
      </c>
      <c r="G9" s="15" t="s">
        <v>30</v>
      </c>
      <c r="H9" s="15" t="s">
        <v>31</v>
      </c>
      <c r="I9" s="15" t="s">
        <v>32</v>
      </c>
      <c r="J9" s="15" t="s">
        <v>33</v>
      </c>
      <c r="K9" s="15" t="s">
        <v>37</v>
      </c>
      <c r="L9" s="15" t="s">
        <v>38</v>
      </c>
      <c r="M9" s="15" t="s">
        <v>34</v>
      </c>
      <c r="N9" s="41" t="s">
        <v>35</v>
      </c>
      <c r="O9" s="41" t="s">
        <v>36</v>
      </c>
      <c r="P9" s="15" t="s">
        <v>54</v>
      </c>
      <c r="Q9" s="41" t="s">
        <v>55</v>
      </c>
    </row>
    <row r="10" spans="1:17" ht="12.75">
      <c r="A10" s="21"/>
      <c r="B10" s="21"/>
      <c r="C10" s="22"/>
      <c r="D10" s="22"/>
      <c r="E10" s="22"/>
      <c r="F10" s="22"/>
      <c r="G10" s="15" t="s">
        <v>56</v>
      </c>
      <c r="H10" s="22"/>
      <c r="I10" s="15" t="s">
        <v>57</v>
      </c>
      <c r="J10" s="23" t="s">
        <v>58</v>
      </c>
      <c r="K10" s="24"/>
      <c r="L10" s="24"/>
      <c r="M10" s="23" t="s">
        <v>59</v>
      </c>
      <c r="N10" s="41" t="s">
        <v>60</v>
      </c>
      <c r="O10" s="43" t="s">
        <v>61</v>
      </c>
      <c r="P10" s="25" t="s">
        <v>62</v>
      </c>
      <c r="Q10" s="43" t="s">
        <v>63</v>
      </c>
    </row>
    <row r="11" spans="1:17" ht="13.5" thickBot="1">
      <c r="A11" s="141" t="s">
        <v>142</v>
      </c>
      <c r="B11" s="139">
        <v>22</v>
      </c>
      <c r="C11" s="140" t="s">
        <v>145</v>
      </c>
      <c r="D11" s="27" t="s">
        <v>70</v>
      </c>
      <c r="E11" s="138">
        <v>0.2</v>
      </c>
      <c r="F11" s="14">
        <v>1.3</v>
      </c>
      <c r="G11" s="14">
        <f>E11+F11</f>
        <v>1.5</v>
      </c>
      <c r="H11" s="14">
        <v>1.3</v>
      </c>
      <c r="I11" s="14">
        <f>E11+H11</f>
        <v>1.5</v>
      </c>
      <c r="J11" s="14">
        <f>G11*I11</f>
        <v>2.25</v>
      </c>
      <c r="K11" s="28">
        <v>0.1</v>
      </c>
      <c r="L11" s="28">
        <v>1.5</v>
      </c>
      <c r="M11" s="14">
        <f>K11+L11</f>
        <v>1.6</v>
      </c>
      <c r="N11" s="42">
        <f>K11*J11*B11</f>
        <v>4.95</v>
      </c>
      <c r="O11" s="42">
        <f>J11*M11*B11</f>
        <v>79.2</v>
      </c>
      <c r="P11" s="28">
        <f>(F11*H11)*M11*B11</f>
        <v>59.49</v>
      </c>
      <c r="Q11" s="42">
        <f>O11-P11</f>
        <v>19.71</v>
      </c>
    </row>
    <row r="12" spans="1:17" ht="30" customHeight="1" thickBot="1">
      <c r="A12" s="188" t="s">
        <v>3</v>
      </c>
      <c r="B12" s="189"/>
      <c r="C12" s="189"/>
      <c r="D12" s="189"/>
      <c r="E12" s="29"/>
      <c r="F12" s="30"/>
      <c r="G12" s="31"/>
      <c r="H12" s="31"/>
      <c r="I12" s="31"/>
      <c r="J12" s="31"/>
      <c r="K12" s="32"/>
      <c r="L12" s="30"/>
      <c r="M12" s="31"/>
      <c r="N12" s="44">
        <f>N11</f>
        <v>4.95</v>
      </c>
      <c r="O12" s="44">
        <f>O11</f>
        <v>79.2</v>
      </c>
      <c r="P12" s="33">
        <f>P11</f>
        <v>59.49</v>
      </c>
      <c r="Q12" s="45">
        <f>Q11</f>
        <v>19.71</v>
      </c>
    </row>
    <row r="13" spans="14:17" ht="12.75">
      <c r="N13" s="16"/>
      <c r="Q13" s="16"/>
    </row>
    <row r="15" spans="14:15" ht="63.75" customHeight="1">
      <c r="N15" s="37" t="s">
        <v>140</v>
      </c>
      <c r="O15" s="64">
        <f>(O12-N12-Q12)*15</f>
        <v>818.1</v>
      </c>
    </row>
  </sheetData>
  <sheetProtection/>
  <mergeCells count="22">
    <mergeCell ref="D7:D8"/>
    <mergeCell ref="K7:K8"/>
    <mergeCell ref="C7:C8"/>
    <mergeCell ref="J7:J8"/>
    <mergeCell ref="I3:Q3"/>
    <mergeCell ref="P7:P8"/>
    <mergeCell ref="A12:D12"/>
    <mergeCell ref="L7:L8"/>
    <mergeCell ref="M7:M8"/>
    <mergeCell ref="N7:N8"/>
    <mergeCell ref="I7:I8"/>
    <mergeCell ref="A6:B7"/>
    <mergeCell ref="H7:H8"/>
    <mergeCell ref="G7:G8"/>
    <mergeCell ref="E7:E8"/>
    <mergeCell ref="F7:F8"/>
    <mergeCell ref="B2:K2"/>
    <mergeCell ref="L2:Q2"/>
    <mergeCell ref="Q7:Q8"/>
    <mergeCell ref="A5:Q5"/>
    <mergeCell ref="C6:Q6"/>
    <mergeCell ref="O7:O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8"/>
  <sheetViews>
    <sheetView tabSelected="1" view="pageBreakPreview" zoomScale="48" zoomScaleNormal="60" zoomScaleSheetLayoutView="48" zoomScalePageLayoutView="0" workbookViewId="0" topLeftCell="A1">
      <selection activeCell="Z6" sqref="Z6"/>
    </sheetView>
  </sheetViews>
  <sheetFormatPr defaultColWidth="9.140625" defaultRowHeight="12.75"/>
  <cols>
    <col min="1" max="1" width="13.00390625" style="0" customWidth="1"/>
    <col min="2" max="2" width="14.28125" style="0" customWidth="1"/>
    <col min="3" max="3" width="17.140625" style="0" customWidth="1"/>
    <col min="4" max="5" width="17.8515625" style="0" customWidth="1"/>
    <col min="6" max="6" width="16.57421875" style="0" customWidth="1"/>
    <col min="7" max="8" width="17.8515625" style="0" customWidth="1"/>
    <col min="9" max="9" width="18.57421875" style="0" customWidth="1"/>
    <col min="10" max="10" width="17.00390625" style="0" customWidth="1"/>
    <col min="11" max="11" width="22.7109375" style="0" customWidth="1"/>
    <col min="12" max="12" width="25.57421875" style="0" customWidth="1"/>
    <col min="13" max="13" width="17.7109375" style="0" customWidth="1"/>
    <col min="14" max="14" width="15.8515625" style="0" customWidth="1"/>
    <col min="15" max="15" width="15.00390625" style="0" customWidth="1"/>
    <col min="16" max="16" width="11.28125" style="0" customWidth="1"/>
    <col min="17" max="17" width="10.140625" style="0" customWidth="1"/>
    <col min="18" max="18" width="13.57421875" style="0" customWidth="1"/>
    <col min="19" max="19" width="13.7109375" style="0" customWidth="1"/>
    <col min="20" max="20" width="12.7109375" style="0" customWidth="1"/>
    <col min="21" max="21" width="14.57421875" style="0" customWidth="1"/>
    <col min="22" max="22" width="12.28125" style="0" customWidth="1"/>
  </cols>
  <sheetData>
    <row r="2" spans="18:22" ht="27" customHeight="1">
      <c r="R2" s="195"/>
      <c r="S2" s="195"/>
      <c r="T2" s="195"/>
      <c r="U2" s="195"/>
      <c r="V2" s="195"/>
    </row>
    <row r="3" spans="2:22" ht="25.5" customHeight="1">
      <c r="B3" s="2"/>
      <c r="C3" s="2"/>
      <c r="D3" s="2"/>
      <c r="E3" s="2"/>
      <c r="F3" s="2"/>
      <c r="G3" s="2"/>
      <c r="H3" s="2"/>
      <c r="I3" s="127"/>
      <c r="J3" s="4"/>
      <c r="K3" s="4"/>
      <c r="N3" s="163" t="s">
        <v>92</v>
      </c>
      <c r="O3" s="163"/>
      <c r="P3" s="163"/>
      <c r="Q3" s="163"/>
      <c r="R3" s="163"/>
      <c r="S3" s="163"/>
      <c r="T3" s="163"/>
      <c r="U3" s="163"/>
      <c r="V3" s="163"/>
    </row>
    <row r="4" spans="2:17" ht="21.75" customHeight="1">
      <c r="B4" s="2"/>
      <c r="C4" s="225" t="s">
        <v>1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1"/>
    </row>
    <row r="5" spans="2:17" ht="28.5" customHeight="1">
      <c r="B5" s="5"/>
      <c r="C5" s="52" t="s">
        <v>2</v>
      </c>
      <c r="D5" s="2"/>
      <c r="E5" s="2"/>
      <c r="F5" s="2"/>
      <c r="G5" s="2"/>
      <c r="H5" s="2"/>
      <c r="I5" s="4"/>
      <c r="J5" s="4"/>
      <c r="K5" s="4"/>
      <c r="P5" s="1"/>
      <c r="Q5" s="3"/>
    </row>
    <row r="6" spans="1:22" ht="58.5" customHeight="1" thickBot="1">
      <c r="A6" s="217" t="s">
        <v>167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</row>
    <row r="7" spans="1:22" ht="28.5" customHeight="1" thickBot="1" thickTop="1">
      <c r="A7" s="231" t="s">
        <v>11</v>
      </c>
      <c r="B7" s="232"/>
      <c r="C7" s="204" t="s">
        <v>78</v>
      </c>
      <c r="D7" s="197" t="s">
        <v>6</v>
      </c>
      <c r="E7" s="198"/>
      <c r="F7" s="198"/>
      <c r="G7" s="198"/>
      <c r="H7" s="198"/>
      <c r="I7" s="198"/>
      <c r="J7" s="198"/>
      <c r="K7" s="199"/>
      <c r="L7" s="200"/>
      <c r="M7" s="201" t="s">
        <v>99</v>
      </c>
      <c r="N7" s="226" t="s">
        <v>146</v>
      </c>
      <c r="O7" s="233" t="s">
        <v>8</v>
      </c>
      <c r="P7" s="212"/>
      <c r="Q7" s="212"/>
      <c r="R7" s="211" t="s">
        <v>109</v>
      </c>
      <c r="S7" s="212"/>
      <c r="T7" s="212"/>
      <c r="U7" s="212"/>
      <c r="V7" s="212"/>
    </row>
    <row r="8" spans="1:22" ht="18.75" customHeight="1" thickBot="1">
      <c r="A8" s="117"/>
      <c r="B8" s="117"/>
      <c r="C8" s="205"/>
      <c r="D8" s="191" t="s">
        <v>110</v>
      </c>
      <c r="E8" s="193" t="s">
        <v>139</v>
      </c>
      <c r="F8" s="208" t="s">
        <v>133</v>
      </c>
      <c r="G8" s="209"/>
      <c r="H8" s="209"/>
      <c r="I8" s="210"/>
      <c r="J8" s="208" t="s">
        <v>112</v>
      </c>
      <c r="K8" s="209"/>
      <c r="L8" s="190" t="s">
        <v>108</v>
      </c>
      <c r="M8" s="202"/>
      <c r="N8" s="227"/>
      <c r="O8" s="234"/>
      <c r="P8" s="214"/>
      <c r="Q8" s="214"/>
      <c r="R8" s="213"/>
      <c r="S8" s="214"/>
      <c r="T8" s="214"/>
      <c r="U8" s="214"/>
      <c r="V8" s="214"/>
    </row>
    <row r="9" spans="1:22" ht="108" customHeight="1" thickTop="1">
      <c r="A9" s="229" t="s">
        <v>17</v>
      </c>
      <c r="B9" s="219" t="s">
        <v>18</v>
      </c>
      <c r="C9" s="206"/>
      <c r="D9" s="192"/>
      <c r="E9" s="194"/>
      <c r="F9" s="118" t="s">
        <v>134</v>
      </c>
      <c r="G9" s="118" t="s">
        <v>137</v>
      </c>
      <c r="H9" s="118" t="s">
        <v>135</v>
      </c>
      <c r="I9" s="47" t="s">
        <v>7</v>
      </c>
      <c r="J9" s="118" t="s">
        <v>134</v>
      </c>
      <c r="K9" s="118" t="s">
        <v>138</v>
      </c>
      <c r="L9" s="190"/>
      <c r="M9" s="203"/>
      <c r="N9" s="228"/>
      <c r="O9" s="235"/>
      <c r="P9" s="216"/>
      <c r="Q9" s="216"/>
      <c r="R9" s="215"/>
      <c r="S9" s="216"/>
      <c r="T9" s="216"/>
      <c r="U9" s="216"/>
      <c r="V9" s="216"/>
    </row>
    <row r="10" spans="1:22" ht="49.5" customHeight="1" thickBot="1">
      <c r="A10" s="230"/>
      <c r="B10" s="220"/>
      <c r="C10" s="207"/>
      <c r="D10" s="76" t="s">
        <v>0</v>
      </c>
      <c r="E10" s="7" t="s">
        <v>0</v>
      </c>
      <c r="F10" s="7" t="s">
        <v>0</v>
      </c>
      <c r="G10" s="119" t="s">
        <v>136</v>
      </c>
      <c r="H10" s="7" t="s">
        <v>0</v>
      </c>
      <c r="I10" s="7" t="s">
        <v>0</v>
      </c>
      <c r="J10" s="7" t="s">
        <v>0</v>
      </c>
      <c r="K10" s="119" t="s">
        <v>136</v>
      </c>
      <c r="L10" s="8" t="s">
        <v>5</v>
      </c>
      <c r="M10" s="9" t="s">
        <v>5</v>
      </c>
      <c r="N10" s="10" t="s">
        <v>4</v>
      </c>
      <c r="O10" s="142" t="s">
        <v>161</v>
      </c>
      <c r="P10" s="142">
        <v>600</v>
      </c>
      <c r="Q10" s="55">
        <v>1000</v>
      </c>
      <c r="R10" s="128" t="s">
        <v>143</v>
      </c>
      <c r="S10" s="128" t="s">
        <v>147</v>
      </c>
      <c r="T10" s="75" t="s">
        <v>148</v>
      </c>
      <c r="U10" s="75" t="s">
        <v>162</v>
      </c>
      <c r="V10" s="75" t="s">
        <v>163</v>
      </c>
    </row>
    <row r="11" spans="1:22" ht="27" customHeight="1" thickTop="1">
      <c r="A11" s="196" t="s">
        <v>64</v>
      </c>
      <c r="B11" s="196"/>
      <c r="C11" s="135">
        <f>'Mov. Terra.Galeria'!C20</f>
        <v>547.29</v>
      </c>
      <c r="D11" s="69">
        <f>'Mov. Terra.Galeria'!L20</f>
        <v>1377.25</v>
      </c>
      <c r="E11" s="69">
        <f>'Mov. Terra.Galeria'!M20</f>
        <v>279.9</v>
      </c>
      <c r="F11" s="69">
        <f>'Mov. Terra.Galeria'!N20</f>
        <v>653.11</v>
      </c>
      <c r="G11" s="69">
        <f>'Mov. Terra.Galeria'!O20</f>
        <v>13062.2</v>
      </c>
      <c r="H11" s="69">
        <f>'Mov. Terra.Galeria'!P20</f>
        <v>653.11</v>
      </c>
      <c r="I11" s="69">
        <f>'Mov. Terra.Galeria'!R20</f>
        <v>89.93</v>
      </c>
      <c r="J11" s="69">
        <f>'Mov. Terra.Galeria'!S20</f>
        <v>653.11</v>
      </c>
      <c r="K11" s="71">
        <f>'Mov. Terra.Galeria'!T20</f>
        <v>15111.3</v>
      </c>
      <c r="L11" s="70"/>
      <c r="M11" s="54"/>
      <c r="N11" s="56"/>
      <c r="O11" s="53"/>
      <c r="P11" s="53"/>
      <c r="Q11" s="53"/>
      <c r="R11" s="56"/>
      <c r="S11" s="129"/>
      <c r="T11" s="60"/>
      <c r="U11" s="56"/>
      <c r="V11" s="56"/>
    </row>
    <row r="12" spans="1:22" ht="37.5" customHeight="1">
      <c r="A12" s="196" t="s">
        <v>65</v>
      </c>
      <c r="B12" s="196"/>
      <c r="C12" s="48"/>
      <c r="D12" s="69">
        <f>'Mov. Terra. PVBL '!O19</f>
        <v>177.64</v>
      </c>
      <c r="E12" s="69">
        <f>'Mov. Terra. PVBL '!Q19</f>
        <v>38.21</v>
      </c>
      <c r="F12" s="69"/>
      <c r="G12" s="69"/>
      <c r="H12" s="69"/>
      <c r="I12" s="69">
        <f>'Mov. Terra. PVBL '!N19</f>
        <v>8.55</v>
      </c>
      <c r="J12" s="69"/>
      <c r="K12" s="71">
        <f>'Mov. Terra. PVBL '!O22</f>
        <v>1963.2</v>
      </c>
      <c r="L12" s="71">
        <f>C12</f>
        <v>0</v>
      </c>
      <c r="M12" s="56"/>
      <c r="N12" s="56"/>
      <c r="O12" s="56"/>
      <c r="P12" s="56"/>
      <c r="Q12" s="56"/>
      <c r="R12" s="53"/>
      <c r="S12" s="129"/>
      <c r="T12" s="60"/>
      <c r="U12" s="53"/>
      <c r="V12" s="53"/>
    </row>
    <row r="13" spans="1:22" ht="31.5" customHeight="1" thickBot="1">
      <c r="A13" s="222" t="s">
        <v>66</v>
      </c>
      <c r="B13" s="222"/>
      <c r="C13" s="49"/>
      <c r="D13" s="72">
        <f>'Mov. Terra. BL'!O12</f>
        <v>79.2</v>
      </c>
      <c r="E13" s="72">
        <f>'Mov. Terra. BL'!Q12</f>
        <v>19.71</v>
      </c>
      <c r="F13" s="72"/>
      <c r="G13" s="72"/>
      <c r="H13" s="72"/>
      <c r="I13" s="72">
        <f>'Mov. Terra. BL'!N12</f>
        <v>4.95</v>
      </c>
      <c r="J13" s="72"/>
      <c r="K13" s="73">
        <f>'Mov. Terra. BL'!O15</f>
        <v>818.1</v>
      </c>
      <c r="L13" s="73"/>
      <c r="M13" s="46"/>
      <c r="N13" s="57"/>
      <c r="O13" s="46"/>
      <c r="P13" s="46"/>
      <c r="Q13" s="46"/>
      <c r="R13" s="46"/>
      <c r="S13" s="57"/>
      <c r="T13" s="60"/>
      <c r="U13" s="46"/>
      <c r="V13" s="46"/>
    </row>
    <row r="14" spans="1:22" ht="31.5" customHeight="1" thickBot="1" thickTop="1">
      <c r="A14" s="223" t="s">
        <v>67</v>
      </c>
      <c r="B14" s="224"/>
      <c r="C14" s="62"/>
      <c r="D14" s="74">
        <f>D11+D12+D13</f>
        <v>1634.09</v>
      </c>
      <c r="E14" s="74">
        <f>SUM(E11:E13)</f>
        <v>337.82</v>
      </c>
      <c r="F14" s="74">
        <f>F11</f>
        <v>653.11</v>
      </c>
      <c r="G14" s="74">
        <f>G11</f>
        <v>13062.2</v>
      </c>
      <c r="H14" s="74">
        <f>H11</f>
        <v>653.11</v>
      </c>
      <c r="I14" s="74">
        <f>I11+I12+I13</f>
        <v>103.43</v>
      </c>
      <c r="J14" s="74">
        <f>J11+J12+J13</f>
        <v>653.11</v>
      </c>
      <c r="K14" s="74">
        <f>SUM(K11:K13)</f>
        <v>17892.6</v>
      </c>
      <c r="L14" s="74">
        <f>(C11*'Mov. Terra.Galeria'!K20*2)</f>
        <v>1663.76</v>
      </c>
      <c r="M14" s="61"/>
      <c r="N14" s="67">
        <f>'Mov. Terra. BL'!B11</f>
        <v>22</v>
      </c>
      <c r="O14" s="59">
        <v>3</v>
      </c>
      <c r="P14" s="59">
        <v>4</v>
      </c>
      <c r="Q14" s="59">
        <v>1</v>
      </c>
      <c r="R14" s="130">
        <f>N14*8</f>
        <v>176</v>
      </c>
      <c r="S14" s="132">
        <v>360</v>
      </c>
      <c r="T14" s="131">
        <f>'Mov. Terra.Galeria'!C19</f>
        <v>64</v>
      </c>
      <c r="U14" s="66">
        <v>60</v>
      </c>
      <c r="V14" s="66">
        <v>65</v>
      </c>
    </row>
    <row r="15" ht="44.25" customHeight="1" thickTop="1">
      <c r="A15" s="6"/>
    </row>
    <row r="16" spans="2:19" ht="33" customHeight="1">
      <c r="B16" s="221"/>
      <c r="C16" s="221"/>
      <c r="D16" s="221"/>
      <c r="E16" s="221"/>
      <c r="F16" s="221"/>
      <c r="G16" s="221"/>
      <c r="H16" s="221"/>
      <c r="I16" s="221"/>
      <c r="J16" s="221"/>
      <c r="K16" s="116"/>
      <c r="L16" s="63"/>
      <c r="M16" s="79"/>
      <c r="S16" s="78"/>
    </row>
    <row r="17" ht="12.75">
      <c r="A17" s="6"/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</sheetData>
  <sheetProtection/>
  <mergeCells count="23">
    <mergeCell ref="C4:P4"/>
    <mergeCell ref="N7:N9"/>
    <mergeCell ref="A9:A10"/>
    <mergeCell ref="A7:B7"/>
    <mergeCell ref="O7:Q9"/>
    <mergeCell ref="J8:K8"/>
    <mergeCell ref="R7:V9"/>
    <mergeCell ref="A6:V6"/>
    <mergeCell ref="B9:B10"/>
    <mergeCell ref="B16:J16"/>
    <mergeCell ref="A12:B12"/>
    <mergeCell ref="A13:B13"/>
    <mergeCell ref="A14:B14"/>
    <mergeCell ref="L8:L9"/>
    <mergeCell ref="D8:D9"/>
    <mergeCell ref="E8:E9"/>
    <mergeCell ref="R2:V2"/>
    <mergeCell ref="A11:B11"/>
    <mergeCell ref="D7:L7"/>
    <mergeCell ref="M7:M9"/>
    <mergeCell ref="C7:C10"/>
    <mergeCell ref="F8:I8"/>
    <mergeCell ref="N3:V3"/>
  </mergeCells>
  <printOptions horizontalCentered="1" verticalCentered="1"/>
  <pageMargins left="0.2362204724409449" right="0.1968503937007874" top="0.3937007874015748" bottom="0.1968503937007874" header="0.4330708661417323" footer="0.5118110236220472"/>
  <pageSetup horizontalDpi="600" verticalDpi="600" orientation="landscape" paperSize="9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8"/>
  <sheetViews>
    <sheetView zoomScalePageLayoutView="0" workbookViewId="0" topLeftCell="A1">
      <selection activeCell="H25" sqref="H25"/>
    </sheetView>
  </sheetViews>
  <sheetFormatPr defaultColWidth="9.140625" defaultRowHeight="12.75"/>
  <sheetData>
    <row r="2" spans="1:13" ht="20.25" customHeight="1">
      <c r="A2" s="236" t="s">
        <v>81</v>
      </c>
      <c r="B2" s="236"/>
      <c r="C2" s="236"/>
      <c r="D2" s="37" t="s">
        <v>80</v>
      </c>
      <c r="E2" s="35"/>
      <c r="F2" s="35"/>
      <c r="G2" s="35"/>
      <c r="H2" s="35"/>
      <c r="I2" s="35"/>
      <c r="J2" s="35"/>
      <c r="K2" s="35"/>
      <c r="L2" s="35"/>
      <c r="M2" s="35"/>
    </row>
    <row r="3" spans="1:4" ht="51.75" customHeight="1">
      <c r="A3" s="36" t="s">
        <v>82</v>
      </c>
      <c r="B3" s="36" t="s">
        <v>83</v>
      </c>
      <c r="C3" s="39" t="s">
        <v>84</v>
      </c>
      <c r="D3" s="36" t="s">
        <v>79</v>
      </c>
    </row>
    <row r="4" spans="1:4" ht="12.75">
      <c r="A4">
        <v>400</v>
      </c>
      <c r="B4" s="38">
        <v>0.4</v>
      </c>
      <c r="C4" s="38">
        <v>0.48</v>
      </c>
      <c r="D4" s="38">
        <f>(3.141592654*(C4*C4))/4</f>
        <v>0.18</v>
      </c>
    </row>
    <row r="5" spans="1:4" ht="12.75">
      <c r="A5">
        <v>600</v>
      </c>
      <c r="B5" s="38">
        <v>0.6</v>
      </c>
      <c r="C5" s="38">
        <v>0.72</v>
      </c>
      <c r="D5" s="38">
        <f>(3.141592654*(C5*C5))/4</f>
        <v>0.41</v>
      </c>
    </row>
    <row r="6" spans="1:4" ht="12.75">
      <c r="A6">
        <v>800</v>
      </c>
      <c r="B6" s="38">
        <v>0.8</v>
      </c>
      <c r="C6" s="38">
        <v>0.96</v>
      </c>
      <c r="D6" s="38">
        <f>(3.141592654*(C6*C6))/4</f>
        <v>0.72</v>
      </c>
    </row>
    <row r="7" spans="1:4" ht="12.75">
      <c r="A7">
        <v>1000</v>
      </c>
      <c r="B7" s="38">
        <v>1</v>
      </c>
      <c r="C7" s="38">
        <v>1.2</v>
      </c>
      <c r="D7" s="38">
        <f>(3.141592654*(C7*C7))/4</f>
        <v>1.13</v>
      </c>
    </row>
    <row r="8" spans="1:4" ht="12.75">
      <c r="A8">
        <v>1200</v>
      </c>
      <c r="B8" s="38">
        <v>1.2</v>
      </c>
      <c r="C8" s="38">
        <v>1.43</v>
      </c>
      <c r="D8" s="38">
        <f>(3.141592654*(C8*C8))/4</f>
        <v>1.61</v>
      </c>
    </row>
  </sheetData>
  <sheetProtection/>
  <mergeCells count="1">
    <mergeCell ref="A2:C2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 OTÁVIO</dc:creator>
  <cp:keywords/>
  <dc:description/>
  <cp:lastModifiedBy>patricia barbosa</cp:lastModifiedBy>
  <cp:lastPrinted>2023-09-20T11:50:21Z</cp:lastPrinted>
  <dcterms:created xsi:type="dcterms:W3CDTF">2004-11-18T10:50:10Z</dcterms:created>
  <dcterms:modified xsi:type="dcterms:W3CDTF">2023-10-26T11:10:12Z</dcterms:modified>
  <cp:category/>
  <cp:version/>
  <cp:contentType/>
  <cp:contentStatus/>
</cp:coreProperties>
</file>